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75" windowWidth="19035" windowHeight="11760"/>
  </bookViews>
  <sheets>
    <sheet name="Table" sheetId="4" r:id="rId1"/>
    <sheet name="Lookups" sheetId="2" state="hidden" r:id="rId2"/>
    <sheet name="Data" sheetId="1" state="hidden" r:id="rId3"/>
  </sheets>
  <definedNames>
    <definedName name="_xlnm._FilterDatabase" localSheetId="2" hidden="1">Data!$A$1:$FQ$3</definedName>
    <definedName name="climate">Table!$B$7</definedName>
    <definedName name="climate_list">Lookups!$M$4:$M$6</definedName>
    <definedName name="_xlnm.Criteria">Lookups!$C$3:$F$4</definedName>
    <definedName name="data">Data!$A$1:$FS$7</definedName>
    <definedName name="date">Table!$B$8</definedName>
    <definedName name="date_list">Lookups!$L$4</definedName>
    <definedName name="Enrolled">Lookups!$D$6</definedName>
    <definedName name="Enrollment">Table!$G$2</definedName>
    <definedName name="_xlnm.Print_Area" localSheetId="0">Table!$A$2:$N$38</definedName>
    <definedName name="rate">Table!$B$5</definedName>
    <definedName name="Result_type">Table!$B$6</definedName>
    <definedName name="Result_type_list">Lookups!$J$4:$J$5</definedName>
    <definedName name="SEdata">Data!$A$1:$FQ$3</definedName>
    <definedName name="Two_way_tab_flag">Lookups!$D$7</definedName>
  </definedNames>
  <calcPr calcId="145621"/>
</workbook>
</file>

<file path=xl/calcChain.xml><?xml version="1.0" encoding="utf-8"?>
<calcChain xmlns="http://schemas.openxmlformats.org/spreadsheetml/2006/main">
  <c r="J4" i="4" l="1"/>
  <c r="F4" i="2" l="1"/>
  <c r="E4" i="2" l="1"/>
  <c r="D4" i="2" l="1"/>
  <c r="C4" i="2"/>
  <c r="G2" i="4" l="1"/>
  <c r="D6" i="2"/>
  <c r="B41" i="2" l="1"/>
  <c r="B40" i="2"/>
  <c r="G4" i="4"/>
  <c r="G32" i="4" l="1"/>
  <c r="H32" i="4" l="1"/>
  <c r="F32" i="4" l="1"/>
  <c r="B12" i="2" l="1"/>
  <c r="J32" i="4"/>
  <c r="H4" i="4"/>
  <c r="F4" i="4"/>
  <c r="F8" i="4" l="1"/>
  <c r="B13" i="2"/>
  <c r="N31" i="4" l="1"/>
  <c r="K30" i="4"/>
  <c r="H29" i="4"/>
  <c r="L29" i="4" s="1"/>
  <c r="N27" i="4"/>
  <c r="K26" i="4"/>
  <c r="H25" i="4"/>
  <c r="L25" i="4" s="1"/>
  <c r="N23" i="4"/>
  <c r="K22" i="4"/>
  <c r="H21" i="4"/>
  <c r="L21" i="4" s="1"/>
  <c r="N19" i="4"/>
  <c r="K18" i="4"/>
  <c r="H17" i="4"/>
  <c r="L17" i="4" s="1"/>
  <c r="N15" i="4"/>
  <c r="K14" i="4"/>
  <c r="H13" i="4"/>
  <c r="L13" i="4" s="1"/>
  <c r="N11" i="4"/>
  <c r="K10" i="4"/>
  <c r="H9" i="4"/>
  <c r="L9" i="4" s="1"/>
  <c r="H22" i="4"/>
  <c r="H18" i="4"/>
  <c r="L18" i="4" s="1"/>
  <c r="K15" i="4"/>
  <c r="N12" i="4"/>
  <c r="H10" i="4"/>
  <c r="L10" i="4" s="1"/>
  <c r="F30" i="4"/>
  <c r="J27" i="4"/>
  <c r="M24" i="4"/>
  <c r="F22" i="4"/>
  <c r="J19" i="4"/>
  <c r="M16" i="4"/>
  <c r="F14" i="4"/>
  <c r="J11" i="4"/>
  <c r="M8" i="4"/>
  <c r="N29" i="4"/>
  <c r="H27" i="4"/>
  <c r="L27" i="4" s="1"/>
  <c r="K24" i="4"/>
  <c r="N21" i="4"/>
  <c r="H19" i="4"/>
  <c r="K16" i="4"/>
  <c r="N13" i="4"/>
  <c r="H11" i="4"/>
  <c r="L11" i="4" s="1"/>
  <c r="K8" i="4"/>
  <c r="F16" i="4"/>
  <c r="F12" i="4"/>
  <c r="M31" i="4"/>
  <c r="J30" i="4"/>
  <c r="F29" i="4"/>
  <c r="M27" i="4"/>
  <c r="J26" i="4"/>
  <c r="F25" i="4"/>
  <c r="M23" i="4"/>
  <c r="J22" i="4"/>
  <c r="F21" i="4"/>
  <c r="M19" i="4"/>
  <c r="J18" i="4"/>
  <c r="F17" i="4"/>
  <c r="M15" i="4"/>
  <c r="J14" i="4"/>
  <c r="F13" i="4"/>
  <c r="M11" i="4"/>
  <c r="J10" i="4"/>
  <c r="F9" i="4"/>
  <c r="K31" i="4"/>
  <c r="H30" i="4"/>
  <c r="L30" i="4" s="1"/>
  <c r="N28" i="4"/>
  <c r="K27" i="4"/>
  <c r="H26" i="4"/>
  <c r="N24" i="4"/>
  <c r="K23" i="4"/>
  <c r="N20" i="4"/>
  <c r="K19" i="4"/>
  <c r="N16" i="4"/>
  <c r="H14" i="4"/>
  <c r="K11" i="4"/>
  <c r="N8" i="4"/>
  <c r="J31" i="4"/>
  <c r="M28" i="4"/>
  <c r="F26" i="4"/>
  <c r="J23" i="4"/>
  <c r="M20" i="4"/>
  <c r="F18" i="4"/>
  <c r="J15" i="4"/>
  <c r="M12" i="4"/>
  <c r="F10" i="4"/>
  <c r="H31" i="4"/>
  <c r="L31" i="4" s="1"/>
  <c r="K28" i="4"/>
  <c r="N25" i="4"/>
  <c r="H23" i="4"/>
  <c r="L23" i="4" s="1"/>
  <c r="K20" i="4"/>
  <c r="N17" i="4"/>
  <c r="H15" i="4"/>
  <c r="L15" i="4" s="1"/>
  <c r="K12" i="4"/>
  <c r="N9" i="4"/>
  <c r="J17" i="4"/>
  <c r="J13" i="4"/>
  <c r="J9" i="4"/>
  <c r="F31" i="4"/>
  <c r="M29" i="4"/>
  <c r="J28" i="4"/>
  <c r="F27" i="4"/>
  <c r="M25" i="4"/>
  <c r="J24" i="4"/>
  <c r="F23" i="4"/>
  <c r="M21" i="4"/>
  <c r="J20" i="4"/>
  <c r="F19" i="4"/>
  <c r="M17" i="4"/>
  <c r="J16" i="4"/>
  <c r="F15" i="4"/>
  <c r="M13" i="4"/>
  <c r="J12" i="4"/>
  <c r="F11" i="4"/>
  <c r="M9" i="4"/>
  <c r="J8" i="4"/>
  <c r="N30" i="4"/>
  <c r="K29" i="4"/>
  <c r="H28" i="4"/>
  <c r="L28" i="4" s="1"/>
  <c r="N26" i="4"/>
  <c r="K25" i="4"/>
  <c r="H24" i="4"/>
  <c r="N22" i="4"/>
  <c r="K21" i="4"/>
  <c r="H20" i="4"/>
  <c r="N18" i="4"/>
  <c r="K17" i="4"/>
  <c r="H16" i="4"/>
  <c r="N14" i="4"/>
  <c r="K13" i="4"/>
  <c r="H12" i="4"/>
  <c r="L12" i="4" s="1"/>
  <c r="N10" i="4"/>
  <c r="K9" i="4"/>
  <c r="H8" i="4"/>
  <c r="M30" i="4"/>
  <c r="J29" i="4"/>
  <c r="F28" i="4"/>
  <c r="M26" i="4"/>
  <c r="J25" i="4"/>
  <c r="F24" i="4"/>
  <c r="M22" i="4"/>
  <c r="J21" i="4"/>
  <c r="F20" i="4"/>
  <c r="M18" i="4"/>
  <c r="M14" i="4"/>
  <c r="M10" i="4"/>
  <c r="I31" i="4"/>
  <c r="C34" i="2" s="1"/>
  <c r="I19" i="4"/>
  <c r="I22" i="4"/>
  <c r="C25" i="2" s="1"/>
  <c r="I12" i="4"/>
  <c r="C15" i="2" s="1"/>
  <c r="I11" i="4"/>
  <c r="C14" i="2" s="1"/>
  <c r="I21" i="4"/>
  <c r="C24" i="2" s="1"/>
  <c r="I10" i="4"/>
  <c r="C13" i="2" s="1"/>
  <c r="I15" i="4"/>
  <c r="C18" i="2" s="1"/>
  <c r="I25" i="4"/>
  <c r="C28" i="2" s="1"/>
  <c r="I14" i="4"/>
  <c r="C17" i="2" s="1"/>
  <c r="I30" i="4"/>
  <c r="C33" i="2" s="1"/>
  <c r="I24" i="4"/>
  <c r="C27" i="2" s="1"/>
  <c r="I18" i="4"/>
  <c r="C21" i="2" s="1"/>
  <c r="I13" i="4"/>
  <c r="C16" i="2" s="1"/>
  <c r="I8" i="4"/>
  <c r="C11" i="2" s="1"/>
  <c r="I17" i="4"/>
  <c r="C20" i="2" s="1"/>
  <c r="I28" i="4"/>
  <c r="C31" i="2" s="1"/>
  <c r="I27" i="4"/>
  <c r="C30" i="2" s="1"/>
  <c r="I16" i="4"/>
  <c r="C19" i="2" s="1"/>
  <c r="I26" i="4"/>
  <c r="C29" i="2" s="1"/>
  <c r="I20" i="4"/>
  <c r="C23" i="2" s="1"/>
  <c r="I9" i="4"/>
  <c r="C12" i="2" s="1"/>
  <c r="I29" i="4"/>
  <c r="C32" i="2" s="1"/>
  <c r="I23" i="4"/>
  <c r="C26" i="2" s="1"/>
  <c r="B14" i="2"/>
  <c r="C22" i="2" l="1"/>
  <c r="I35" i="4"/>
  <c r="F35" i="4"/>
  <c r="H35" i="4"/>
  <c r="L14" i="4"/>
  <c r="L19" i="4"/>
  <c r="F34" i="4"/>
  <c r="L16" i="4"/>
  <c r="L20" i="4"/>
  <c r="G12" i="4"/>
  <c r="G29" i="4"/>
  <c r="G14" i="4"/>
  <c r="G22" i="4"/>
  <c r="G9" i="4"/>
  <c r="G27" i="4"/>
  <c r="G13" i="4"/>
  <c r="G21" i="4"/>
  <c r="G18" i="4"/>
  <c r="L22" i="4"/>
  <c r="G10" i="4"/>
  <c r="G17" i="4"/>
  <c r="G31" i="4"/>
  <c r="G28" i="4"/>
  <c r="G26" i="4"/>
  <c r="G11" i="4"/>
  <c r="G24" i="4"/>
  <c r="G25" i="4"/>
  <c r="G15" i="4"/>
  <c r="G16" i="4"/>
  <c r="G30" i="4"/>
  <c r="L26" i="4"/>
  <c r="H34" i="4"/>
  <c r="G23" i="4"/>
  <c r="G20" i="4"/>
  <c r="G19" i="4"/>
  <c r="G8" i="4"/>
  <c r="I34" i="4"/>
  <c r="L24" i="4"/>
  <c r="L8" i="4"/>
  <c r="B15" i="2"/>
  <c r="G35" i="4" l="1"/>
  <c r="H41" i="2"/>
  <c r="N35" i="4" s="1"/>
  <c r="D41" i="2"/>
  <c r="J35" i="4" s="1"/>
  <c r="G41" i="2"/>
  <c r="M35" i="4" s="1"/>
  <c r="F41" i="2"/>
  <c r="L35" i="4" s="1"/>
  <c r="E41" i="2"/>
  <c r="K35" i="4" s="1"/>
  <c r="O35" i="4"/>
  <c r="O34" i="4"/>
  <c r="D40" i="2"/>
  <c r="J34" i="4" s="1"/>
  <c r="F40" i="2"/>
  <c r="L34" i="4" s="1"/>
  <c r="H40" i="2"/>
  <c r="N34" i="4" s="1"/>
  <c r="G40" i="2"/>
  <c r="M34" i="4" s="1"/>
  <c r="E40" i="2"/>
  <c r="K34" i="4" s="1"/>
  <c r="G34" i="4"/>
  <c r="B16" i="2"/>
  <c r="B17" i="2" l="1"/>
  <c r="B18" i="2" l="1"/>
  <c r="B19" i="2" l="1"/>
  <c r="B20" i="2" l="1"/>
  <c r="B21" i="2" l="1"/>
  <c r="B22" i="2" l="1"/>
  <c r="B23" i="2" l="1"/>
  <c r="B24" i="2" l="1"/>
  <c r="B25" i="2" l="1"/>
  <c r="B26" i="2" l="1"/>
  <c r="B27" i="2" l="1"/>
  <c r="B28" i="2" l="1"/>
  <c r="B29" i="2" l="1"/>
  <c r="B30" i="2" l="1"/>
  <c r="B31" i="2" l="1"/>
  <c r="B32" i="2" l="1"/>
  <c r="B33" i="2" l="1"/>
  <c r="B34" i="2" l="1"/>
</calcChain>
</file>

<file path=xl/sharedStrings.xml><?xml version="1.0" encoding="utf-8"?>
<sst xmlns="http://schemas.openxmlformats.org/spreadsheetml/2006/main" count="251" uniqueCount="217">
  <si>
    <t>Aggregate Impact</t>
  </si>
  <si>
    <t>Hour Ending</t>
  </si>
  <si>
    <t>10th%ile</t>
  </si>
  <si>
    <t>30th%ile</t>
  </si>
  <si>
    <t>50th%ile</t>
  </si>
  <si>
    <t>70th%ile</t>
  </si>
  <si>
    <t>90th%ile</t>
  </si>
  <si>
    <t>DR Program:</t>
  </si>
  <si>
    <t>10th</t>
  </si>
  <si>
    <t>30th</t>
  </si>
  <si>
    <t>50th</t>
  </si>
  <si>
    <t>70th</t>
  </si>
  <si>
    <t>90th</t>
  </si>
  <si>
    <t>Daily</t>
  </si>
  <si>
    <t>Utility:</t>
  </si>
  <si>
    <t>Type of Results: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</si>
  <si>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</si>
  <si>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</si>
  <si>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</si>
  <si>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</si>
  <si>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</si>
  <si>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</si>
  <si>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</si>
  <si>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</si>
  <si>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</si>
  <si>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</si>
  <si>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</si>
  <si>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</si>
  <si>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</si>
  <si>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</si>
  <si>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</si>
  <si>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</si>
  <si>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</si>
  <si>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</si>
  <si>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</si>
  <si>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</si>
  <si>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</si>
  <si>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</si>
  <si>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</si>
  <si>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</si>
  <si>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</si>
  <si>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</si>
  <si>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</si>
  <si>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</si>
  <si>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</si>
  <si>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</si>
  <si>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</si>
  <si>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</si>
  <si>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</si>
  <si>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</si>
  <si>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</si>
  <si>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</si>
  <si>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</si>
  <si>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</si>
  <si>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</si>
  <si>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</si>
  <si>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</si>
  <si>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</si>
  <si>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</si>
  <si>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</si>
  <si>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</si>
  <si>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</si>
  <si>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</si>
  <si>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</si>
  <si>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</si>
  <si>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</si>
  <si>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</si>
  <si>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</si>
  <si>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</si>
  <si>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</si>
  <si>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</si>
  <si>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</si>
  <si>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</si>
  <si>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</si>
  <si>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</si>
  <si>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</si>
  <si>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</si>
  <si>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</si>
  <si>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</si>
  <si>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</si>
  <si>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</si>
  <si>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</si>
  <si>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</si>
  <si>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</si>
  <si>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</si>
  <si>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</si>
  <si>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</si>
  <si>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</si>
  <si>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</si>
  <si>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</si>
  <si>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</si>
  <si>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</si>
  <si>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</si>
  <si>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</si>
  <si>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</si>
  <si>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</si>
  <si>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</si>
  <si>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</si>
  <si>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</si>
  <si>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</si>
  <si>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</si>
  <si>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</si>
  <si>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</si>
  <si>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</si>
  <si>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</si>
  <si>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</si>
  <si>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</si>
  <si>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</si>
  <si>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</si>
  <si>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</si>
  <si>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</si>
  <si>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</si>
  <si>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</si>
  <si>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</si>
  <si>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</si>
  <si>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</si>
  <si>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</si>
  <si>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</si>
  <si>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</si>
  <si>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</si>
  <si>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</si>
  <si>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</si>
  <si>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</si>
  <si>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</si>
  <si>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</si>
  <si>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</si>
  <si>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</si>
  <si>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</si>
  <si>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</si>
  <si>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</si>
  <si>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</si>
  <si>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</si>
  <si>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</si>
  <si>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</si>
  <si>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</si>
  <si>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</si>
  <si>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</si>
  <si>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</si>
  <si>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</si>
  <si>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</si>
  <si>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</si>
  <si>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</si>
  <si>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</si>
  <si>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</si>
  <si>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</si>
  <si>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</si>
  <si>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</si>
  <si>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</si>
  <si>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</si>
  <si>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</si>
  <si>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</si>
  <si>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</si>
  <si>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</si>
  <si>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</si>
  <si>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</si>
  <si>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</si>
  <si>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</si>
  <si>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</si>
  <si>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</si>
  <si>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</si>
  <si>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</si>
  <si>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</si>
  <si>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</si>
  <si>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</si>
  <si>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</si>
  <si>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</si>
  <si>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</si>
  <si>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</si>
  <si>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</si>
  <si>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</si>
  <si>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</si>
  <si>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</si>
  <si>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</si>
  <si>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</si>
  <si>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</si>
  <si>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</si>
  <si>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</si>
  <si>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</si>
  <si>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</si>
  <si>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</si>
  <si>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</si>
  <si>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</si>
  <si>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</si>
  <si>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</si>
  <si>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</si>
  <si>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</si>
  <si>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</si>
  <si>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Two-way tab flag</t>
  </si>
  <si>
    <t>By Period:</t>
  </si>
  <si>
    <t>Avg evt hours</t>
  </si>
  <si>
    <t xml:space="preserve"> Number of Accounts Enrolled:</t>
  </si>
  <si>
    <t>Enrollment</t>
  </si>
  <si>
    <t>Enrolled</t>
  </si>
  <si>
    <t>SEs by Period</t>
  </si>
  <si>
    <t>Period</t>
  </si>
  <si>
    <t>Allday</t>
  </si>
  <si>
    <t>ResultType</t>
  </si>
  <si>
    <t>Average per Enrolled Customer</t>
  </si>
  <si>
    <t>Confidentiality flag</t>
  </si>
  <si>
    <t>Average % Load Impact</t>
  </si>
  <si>
    <t>San Diego Gas &amp; Electric</t>
  </si>
  <si>
    <t>Residential Time of Use and CPP</t>
  </si>
  <si>
    <t>stderrallday</t>
  </si>
  <si>
    <t>stderrevent</t>
  </si>
  <si>
    <t>Event</t>
  </si>
  <si>
    <t>Event Hour</t>
  </si>
  <si>
    <t xml:space="preserve">Date: </t>
  </si>
  <si>
    <t>Date</t>
  </si>
  <si>
    <t>Climate</t>
  </si>
  <si>
    <t>All</t>
  </si>
  <si>
    <t>Coastal</t>
  </si>
  <si>
    <t>Inland</t>
  </si>
  <si>
    <t>CPP Event Day Load Impact</t>
  </si>
  <si>
    <t>Rate:</t>
  </si>
  <si>
    <t>TOU-DR-P</t>
  </si>
  <si>
    <t>Rate</t>
  </si>
  <si>
    <t>Climate Zone: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</si>
</sst>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[$-409]mmmm\ d\,\ yyyy;@"/>
    <numFmt numFmtId="166" formatCode="0.0%"/>
    <numFmt numFmtId="167" formatCode="0.0"/>
    <numFmt numFmtId="168" formatCode="0.0000"/>
    <numFmt numFmtId="170" formatCode="#,##0.0000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b/>
      <sz val="11"/>
      <name val="Arial Narrow"/>
      <family val="2"/>
    </font>
    <font>
      <b/>
      <sz val="12"/>
      <color indexed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C257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medium">
        <color indexed="56"/>
      </bottom>
      <diagonal/>
    </border>
    <border>
      <left style="thin">
        <color indexed="56"/>
      </left>
      <right style="thin">
        <color indexed="56"/>
      </right>
      <top/>
      <bottom style="medium">
        <color indexed="56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thin">
        <color indexed="56"/>
      </left>
      <right/>
      <top/>
      <bottom style="medium">
        <color indexed="56"/>
      </bottom>
      <diagonal/>
    </border>
    <border>
      <left style="medium">
        <color indexed="64"/>
      </left>
      <right style="medium">
        <color indexed="64"/>
      </right>
      <top/>
      <bottom style="medium">
        <color indexed="56"/>
      </bottom>
      <diagonal/>
    </border>
    <border>
      <left style="medium">
        <color indexed="9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indexed="56"/>
      </right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indexed="9"/>
      </left>
      <right style="medium">
        <color indexed="9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/>
    <xf numFmtId="0" fontId="7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wrapText="1"/>
    </xf>
    <xf numFmtId="0" fontId="6" fillId="0" borderId="0" xfId="0" applyFont="1"/>
    <xf numFmtId="0" fontId="10" fillId="0" borderId="0" xfId="0" applyFont="1" applyBorder="1" applyAlignment="1">
      <alignment horizontal="left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49" fontId="7" fillId="0" borderId="0" xfId="0" applyNumberFormat="1" applyFont="1" applyBorder="1" applyAlignment="1">
      <alignment horizontal="left"/>
    </xf>
    <xf numFmtId="0" fontId="6" fillId="0" borderId="0" xfId="0" applyFont="1" applyFill="1" applyBorder="1"/>
    <xf numFmtId="0" fontId="4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3" fontId="0" fillId="0" borderId="0" xfId="0" applyNumberFormat="1"/>
    <xf numFmtId="0" fontId="13" fillId="2" borderId="0" xfId="0" applyFont="1" applyFill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6" fillId="0" borderId="0" xfId="0" quotePrefix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164" fontId="0" fillId="0" borderId="0" xfId="0" applyNumberFormat="1"/>
    <xf numFmtId="166" fontId="0" fillId="0" borderId="0" xfId="1" applyNumberFormat="1" applyFont="1"/>
    <xf numFmtId="0" fontId="1" fillId="0" borderId="0" xfId="0" applyFont="1"/>
    <xf numFmtId="0" fontId="12" fillId="0" borderId="0" xfId="0" applyFont="1"/>
    <xf numFmtId="164" fontId="4" fillId="0" borderId="0" xfId="0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167" fontId="0" fillId="0" borderId="0" xfId="0" applyNumberFormat="1"/>
    <xf numFmtId="0" fontId="6" fillId="0" borderId="0" xfId="0" applyFont="1" applyFill="1" applyBorder="1" applyAlignment="1">
      <alignment horizontal="left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5" fontId="7" fillId="0" borderId="0" xfId="0" applyNumberFormat="1" applyFont="1" applyFill="1" applyBorder="1" applyAlignment="1">
      <alignment horizontal="center" vertical="center"/>
    </xf>
    <xf numFmtId="15" fontId="1" fillId="0" borderId="0" xfId="0" applyNumberFormat="1" applyFont="1" applyFill="1" applyBorder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164" fontId="4" fillId="0" borderId="0" xfId="0" quotePrefix="1" applyNumberFormat="1" applyFont="1" applyAlignment="1">
      <alignment horizontal="right"/>
    </xf>
    <xf numFmtId="166" fontId="12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1" fillId="3" borderId="0" xfId="0" applyFont="1" applyFill="1"/>
    <xf numFmtId="164" fontId="9" fillId="0" borderId="14" xfId="0" applyNumberFormat="1" applyFont="1" applyBorder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4" fillId="4" borderId="9" xfId="0" applyFont="1" applyFill="1" applyBorder="1" applyAlignment="1">
      <alignment horizontal="center" vertical="center"/>
    </xf>
    <xf numFmtId="164" fontId="9" fillId="4" borderId="10" xfId="0" applyNumberFormat="1" applyFont="1" applyFill="1" applyBorder="1" applyAlignment="1">
      <alignment horizontal="center" vertical="center"/>
    </xf>
    <xf numFmtId="166" fontId="15" fillId="0" borderId="15" xfId="1" applyNumberFormat="1" applyFont="1" applyBorder="1" applyAlignment="1">
      <alignment horizontal="center"/>
    </xf>
    <xf numFmtId="14" fontId="1" fillId="0" borderId="0" xfId="0" applyNumberFormat="1" applyFont="1"/>
    <xf numFmtId="14" fontId="7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1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Continuous"/>
    </xf>
    <xf numFmtId="0" fontId="5" fillId="5" borderId="8" xfId="0" applyFont="1" applyFill="1" applyBorder="1" applyAlignment="1">
      <alignment horizontal="centerContinuous"/>
    </xf>
    <xf numFmtId="0" fontId="5" fillId="5" borderId="3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8" fillId="5" borderId="17" xfId="0" applyFont="1" applyFill="1" applyBorder="1" applyAlignment="1">
      <alignment horizontal="center" wrapText="1"/>
    </xf>
    <xf numFmtId="0" fontId="16" fillId="5" borderId="0" xfId="0" applyFont="1" applyFill="1" applyBorder="1" applyAlignment="1">
      <alignment horizontal="center" wrapText="1"/>
    </xf>
    <xf numFmtId="2" fontId="5" fillId="5" borderId="11" xfId="0" quotePrefix="1" applyNumberFormat="1" applyFont="1" applyFill="1" applyBorder="1" applyAlignment="1">
      <alignment horizontal="center" wrapText="1"/>
    </xf>
    <xf numFmtId="2" fontId="5" fillId="5" borderId="12" xfId="0" applyNumberFormat="1" applyFont="1" applyFill="1" applyBorder="1" applyAlignment="1">
      <alignment horizontal="center" wrapText="1"/>
    </xf>
    <xf numFmtId="2" fontId="5" fillId="5" borderId="4" xfId="0" applyNumberFormat="1" applyFont="1" applyFill="1" applyBorder="1" applyAlignment="1">
      <alignment horizontal="center" wrapText="1"/>
    </xf>
    <xf numFmtId="2" fontId="5" fillId="5" borderId="2" xfId="0" applyNumberFormat="1" applyFont="1" applyFill="1" applyBorder="1" applyAlignment="1">
      <alignment horizontal="center" wrapText="1"/>
    </xf>
    <xf numFmtId="2" fontId="5" fillId="5" borderId="4" xfId="0" quotePrefix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2" fontId="5" fillId="5" borderId="21" xfId="0" applyNumberFormat="1" applyFont="1" applyFill="1" applyBorder="1" applyAlignment="1">
      <alignment horizontal="center" wrapText="1"/>
    </xf>
    <xf numFmtId="0" fontId="5" fillId="5" borderId="0" xfId="0" quotePrefix="1" applyFont="1" applyFill="1" applyBorder="1" applyAlignment="1">
      <alignment horizontal="center" wrapText="1"/>
    </xf>
    <xf numFmtId="0" fontId="8" fillId="5" borderId="18" xfId="0" applyFont="1" applyFill="1" applyBorder="1" applyAlignment="1">
      <alignment horizontal="center" wrapText="1"/>
    </xf>
    <xf numFmtId="0" fontId="5" fillId="5" borderId="17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8" fillId="5" borderId="16" xfId="0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center" wrapText="1"/>
    </xf>
    <xf numFmtId="170" fontId="9" fillId="0" borderId="7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2"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EEF3F8"/>
      <color rgb="FFE7EEF5"/>
      <color rgb="FFE1EAF3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Table!$F$4:$F$7</c:f>
              <c:strCache>
                <c:ptCount val="1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2.7301440000000001</c:v>
                </c:pt>
                <c:pt idx="1">
                  <c:v>2.437567</c:v>
                </c:pt>
                <c:pt idx="2">
                  <c:v>2.2347380000000001</c:v>
                </c:pt>
                <c:pt idx="3">
                  <c:v>2.0390320000000002</c:v>
                </c:pt>
                <c:pt idx="4">
                  <c:v>1.9770829999999999</c:v>
                </c:pt>
                <c:pt idx="5">
                  <c:v>2.0413969999999999</c:v>
                </c:pt>
                <c:pt idx="6">
                  <c:v>2.1816930000000001</c:v>
                </c:pt>
                <c:pt idx="7">
                  <c:v>2.149305</c:v>
                </c:pt>
                <c:pt idx="8">
                  <c:v>2.093073</c:v>
                </c:pt>
                <c:pt idx="9">
                  <c:v>2.157308</c:v>
                </c:pt>
                <c:pt idx="10">
                  <c:v>2.3265289999999998</c:v>
                </c:pt>
                <c:pt idx="11">
                  <c:v>2.5659420000000002</c:v>
                </c:pt>
                <c:pt idx="12">
                  <c:v>2.8387250000000002</c:v>
                </c:pt>
                <c:pt idx="13">
                  <c:v>3.057474</c:v>
                </c:pt>
                <c:pt idx="14">
                  <c:v>3.4134199999999999</c:v>
                </c:pt>
                <c:pt idx="15">
                  <c:v>3.8043719999999999</c:v>
                </c:pt>
                <c:pt idx="16">
                  <c:v>4.1962440000000001</c:v>
                </c:pt>
                <c:pt idx="17">
                  <c:v>4.7037209999999998</c:v>
                </c:pt>
                <c:pt idx="18">
                  <c:v>5.2339409999999997</c:v>
                </c:pt>
                <c:pt idx="19">
                  <c:v>5.6299910000000004</c:v>
                </c:pt>
                <c:pt idx="20">
                  <c:v>5.5667590000000002</c:v>
                </c:pt>
                <c:pt idx="21">
                  <c:v>5.1329859999999998</c:v>
                </c:pt>
                <c:pt idx="22">
                  <c:v>4.554087</c:v>
                </c:pt>
                <c:pt idx="23">
                  <c:v>4.0211040000000002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938-46B0-8C62-37CB2EE352DD}"/>
            </c:ext>
          </c:extLst>
        </c:ser>
        <c:ser>
          <c:idx val="0"/>
          <c:order val="1"/>
          <c:tx>
            <c:strRef>
              <c:f>Table!$G$4:$G$7</c:f>
              <c:strCache>
                <c:ptCount val="1"/>
                <c:pt idx="0">
                  <c:v>Observed Load (MWh/hour)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2.6574514000000002</c:v>
                </c:pt>
                <c:pt idx="1">
                  <c:v>2.3496752999999999</c:v>
                </c:pt>
                <c:pt idx="2">
                  <c:v>2.1831249000000001</c:v>
                </c:pt>
                <c:pt idx="3">
                  <c:v>2.0366672000000001</c:v>
                </c:pt>
                <c:pt idx="4">
                  <c:v>1.9737967999999999</c:v>
                </c:pt>
                <c:pt idx="5">
                  <c:v>2.0105006999999997</c:v>
                </c:pt>
                <c:pt idx="6">
                  <c:v>2.2065427</c:v>
                </c:pt>
                <c:pt idx="7">
                  <c:v>2.2359685000000002</c:v>
                </c:pt>
                <c:pt idx="8">
                  <c:v>2.1753106999999998</c:v>
                </c:pt>
                <c:pt idx="9">
                  <c:v>2.2311204999999998</c:v>
                </c:pt>
                <c:pt idx="10">
                  <c:v>2.3807719000000001</c:v>
                </c:pt>
                <c:pt idx="11">
                  <c:v>2.4027305000000001</c:v>
                </c:pt>
                <c:pt idx="12">
                  <c:v>2.5149519000000002</c:v>
                </c:pt>
                <c:pt idx="13">
                  <c:v>2.7286022000000001</c:v>
                </c:pt>
                <c:pt idx="14">
                  <c:v>3.0018379999999998</c:v>
                </c:pt>
                <c:pt idx="15">
                  <c:v>3.2502341000000001</c:v>
                </c:pt>
                <c:pt idx="16">
                  <c:v>3.5615073000000002</c:v>
                </c:pt>
                <c:pt idx="17">
                  <c:v>4.0208550999999995</c:v>
                </c:pt>
                <c:pt idx="18">
                  <c:v>4.9393858000000002</c:v>
                </c:pt>
                <c:pt idx="19">
                  <c:v>5.6281435000000002</c:v>
                </c:pt>
                <c:pt idx="20">
                  <c:v>5.6507142000000004</c:v>
                </c:pt>
                <c:pt idx="21">
                  <c:v>5.2962132999999998</c:v>
                </c:pt>
                <c:pt idx="22">
                  <c:v>4.7405946999999999</c:v>
                </c:pt>
                <c:pt idx="23">
                  <c:v>4.1594598999999999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938-46B0-8C62-37CB2EE35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42176"/>
        <c:axId val="147844096"/>
      </c:scatterChart>
      <c:valAx>
        <c:axId val="147842176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147844096"/>
        <c:crosses val="autoZero"/>
        <c:crossBetween val="midCat"/>
        <c:majorUnit val="1"/>
      </c:valAx>
      <c:valAx>
        <c:axId val="1478440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1478421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71438</xdr:rowOff>
    </xdr:from>
    <xdr:to>
      <xdr:col>3</xdr:col>
      <xdr:colOff>628650</xdr:colOff>
      <xdr:row>34</xdr:row>
      <xdr:rowOff>202127</xdr:rowOff>
    </xdr:to>
    <xdr:graphicFrame macro="">
      <xdr:nvGraphicFramePr>
        <xdr:cNvPr id="1100" name="Chart 1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658813</xdr:colOff>
      <xdr:row>0</xdr:row>
      <xdr:rowOff>0</xdr:rowOff>
    </xdr:from>
    <xdr:to>
      <xdr:col>14</xdr:col>
      <xdr:colOff>9558</xdr:colOff>
      <xdr:row>3</xdr:row>
      <xdr:rowOff>5902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D8DD98B-D416-4369-92E5-5DF418CF19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76188" y="0"/>
          <a:ext cx="2398745" cy="6567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zoomScale="80" zoomScaleNormal="80" workbookViewId="0">
      <selection activeCell="B6" sqref="B6"/>
    </sheetView>
  </sheetViews>
  <sheetFormatPr defaultRowHeight="12.75" x14ac:dyDescent="0.2"/>
  <cols>
    <col min="1" max="1" width="27" bestFit="1" customWidth="1"/>
    <col min="2" max="2" width="31.5703125" customWidth="1"/>
    <col min="3" max="3" width="24" customWidth="1"/>
    <col min="4" max="4" width="10.28515625" customWidth="1"/>
    <col min="5" max="5" width="17.85546875" customWidth="1"/>
    <col min="6" max="6" width="16.140625" customWidth="1"/>
    <col min="7" max="7" width="13.28515625" customWidth="1"/>
    <col min="8" max="8" width="13" customWidth="1"/>
    <col min="9" max="9" width="15.5703125" customWidth="1"/>
    <col min="10" max="14" width="11.42578125" customWidth="1"/>
    <col min="15" max="15" width="11.42578125" bestFit="1" customWidth="1"/>
    <col min="16" max="16" width="9.140625" customWidth="1"/>
  </cols>
  <sheetData>
    <row r="1" spans="1:14" ht="16.5" thickBot="1" x14ac:dyDescent="0.3">
      <c r="A1" s="66" t="s">
        <v>212</v>
      </c>
      <c r="B1" s="66"/>
    </row>
    <row r="2" spans="1:14" ht="17.25" customHeight="1" thickBot="1" x14ac:dyDescent="0.3">
      <c r="C2" s="4"/>
      <c r="D2" s="4"/>
      <c r="F2" s="3" t="s">
        <v>190</v>
      </c>
      <c r="G2" s="44">
        <f>DGET(data,"Enrolled",_xlnm.Criteria)</f>
        <v>3063</v>
      </c>
      <c r="I2" s="31"/>
      <c r="J2" s="3"/>
      <c r="K2" s="32"/>
      <c r="L2" s="34"/>
    </row>
    <row r="3" spans="1:14" ht="17.25" customHeight="1" thickBot="1" x14ac:dyDescent="0.3">
      <c r="A3" s="26" t="s">
        <v>14</v>
      </c>
      <c r="B3" s="6" t="s">
        <v>200</v>
      </c>
      <c r="C3" s="4"/>
      <c r="D3" s="4"/>
      <c r="K3" s="33"/>
    </row>
    <row r="4" spans="1:14" ht="17.25" customHeight="1" thickBot="1" x14ac:dyDescent="0.25">
      <c r="A4" s="27" t="s">
        <v>7</v>
      </c>
      <c r="B4" s="24" t="s">
        <v>201</v>
      </c>
      <c r="C4" s="4"/>
      <c r="D4" s="4"/>
      <c r="E4" s="72" t="s">
        <v>1</v>
      </c>
      <c r="F4" s="73" t="str">
        <f>"Estimated Reference Load ("&amp;IF(Result_type="Aggregate impact","MWh","kWh")&amp;"/hour)"</f>
        <v>Estimated Reference Load (MWh/hour)</v>
      </c>
      <c r="G4" s="73" t="str">
        <f>"Observed Load ("&amp;IF(Result_type="Aggregate Impact","MWh/hour)","kWh/hour)")</f>
        <v>Observed Load (MWh/hour)</v>
      </c>
      <c r="H4" s="73" t="str">
        <f>"Estimated Load Impact ("&amp;IF(Result_type="Aggregate Impact","MWh/hour)","kWh/hour)")</f>
        <v>Estimated Load Impact (MWh/hour)</v>
      </c>
      <c r="I4" s="74" t="s">
        <v>160</v>
      </c>
      <c r="J4" s="76" t="str">
        <f>"Uncertainty Adjusted Impact ("&amp;IF(Result_type="Aggregate Impact","MWh/hr)- Percentiles","kWh/hr)- Percentiles")</f>
        <v>Uncertainty Adjusted Impact (MWh/hr)- Percentiles</v>
      </c>
      <c r="K4" s="77"/>
      <c r="L4" s="77"/>
      <c r="M4" s="77"/>
      <c r="N4" s="77"/>
    </row>
    <row r="5" spans="1:14" ht="17.25" customHeight="1" thickBot="1" x14ac:dyDescent="0.25">
      <c r="A5" s="26" t="s">
        <v>213</v>
      </c>
      <c r="B5" s="10" t="s">
        <v>214</v>
      </c>
      <c r="C5" s="4"/>
      <c r="D5" s="4"/>
      <c r="E5" s="72"/>
      <c r="F5" s="73"/>
      <c r="G5" s="73"/>
      <c r="H5" s="73"/>
      <c r="I5" s="74"/>
      <c r="J5" s="78"/>
      <c r="K5" s="79"/>
      <c r="L5" s="79"/>
      <c r="M5" s="79"/>
      <c r="N5" s="79"/>
    </row>
    <row r="6" spans="1:14" ht="17.25" customHeight="1" thickBot="1" x14ac:dyDescent="0.25">
      <c r="A6" s="26" t="s">
        <v>15</v>
      </c>
      <c r="B6" s="6" t="s">
        <v>0</v>
      </c>
      <c r="C6" s="4"/>
      <c r="D6" s="4"/>
      <c r="E6" s="72"/>
      <c r="F6" s="73"/>
      <c r="G6" s="73"/>
      <c r="H6" s="73"/>
      <c r="I6" s="74"/>
      <c r="J6" s="80" t="s">
        <v>2</v>
      </c>
      <c r="K6" s="81" t="s">
        <v>3</v>
      </c>
      <c r="L6" s="65" t="s">
        <v>4</v>
      </c>
      <c r="M6" s="65" t="s">
        <v>5</v>
      </c>
      <c r="N6" s="75" t="s">
        <v>6</v>
      </c>
    </row>
    <row r="7" spans="1:14" ht="17.25" customHeight="1" thickBot="1" x14ac:dyDescent="0.25">
      <c r="A7" s="37" t="s">
        <v>216</v>
      </c>
      <c r="B7" s="57" t="s">
        <v>209</v>
      </c>
      <c r="C7" s="4"/>
      <c r="D7" s="4"/>
      <c r="E7" s="72"/>
      <c r="F7" s="73"/>
      <c r="G7" s="73"/>
      <c r="H7" s="73"/>
      <c r="I7" s="74"/>
      <c r="J7" s="80"/>
      <c r="K7" s="81"/>
      <c r="L7" s="65"/>
      <c r="M7" s="65"/>
      <c r="N7" s="75"/>
    </row>
    <row r="8" spans="1:14" ht="17.25" customHeight="1" thickBot="1" x14ac:dyDescent="0.25">
      <c r="A8" s="37" t="s">
        <v>206</v>
      </c>
      <c r="B8" s="57">
        <v>42639</v>
      </c>
      <c r="C8" s="7"/>
      <c r="D8" s="7"/>
      <c r="E8" s="25">
        <v>1</v>
      </c>
      <c r="F8" s="38">
        <f>IF(Enrolled=0,"n/a",DGET(data,"Ref_hr1",_xlnm.Criteria)*1)</f>
        <v>2.7301440000000001</v>
      </c>
      <c r="G8" s="38">
        <f t="shared" ref="G8:G31" si="0">IF(Enrolled=0,"n/a",F8-H8)</f>
        <v>2.6574514000000002</v>
      </c>
      <c r="H8" s="38">
        <f>IF(Enrolled=0,"n/a",DGET(data,"Pctile50_hr1",_xlnm.Criteria)*1)</f>
        <v>7.2692599999999996E-2</v>
      </c>
      <c r="I8" s="38">
        <f>IF(Enrolled=0,"n/a",DGET(data,"Temp_hr1",_xlnm.Criteria))</f>
        <v>73.358360000000005</v>
      </c>
      <c r="J8" s="38">
        <f>IF(Enrolled=0,"n/a",DGET(data,"Pctile10_hr1",_xlnm.Criteria)*1)</f>
        <v>8.1206000000000004E-3</v>
      </c>
      <c r="K8" s="38">
        <f>IF(Enrolled=0,"n/a",DGET(data,"Pctile30_hr1",_xlnm.Criteria)*1)</f>
        <v>4.62703E-2</v>
      </c>
      <c r="L8" s="38">
        <f>H8</f>
        <v>7.2692599999999996E-2</v>
      </c>
      <c r="M8" s="38">
        <f>IF(Enrolled=0,"n/a",DGET(data,"Pctile70_hr1",_xlnm.Criteria)*1)</f>
        <v>9.9114900000000006E-2</v>
      </c>
      <c r="N8" s="38">
        <f>IF(Enrolled=0,"n/a",DGET(data,"Pctile90_hr1",_xlnm.Criteria)*1)</f>
        <v>0.13726459999999999</v>
      </c>
    </row>
    <row r="9" spans="1:14" ht="17.25" customHeight="1" x14ac:dyDescent="0.2">
      <c r="A9" s="26"/>
      <c r="B9" s="9"/>
      <c r="C9" s="9"/>
      <c r="D9" s="9"/>
      <c r="E9" s="25">
        <v>2</v>
      </c>
      <c r="F9" s="38">
        <f>IF(Enrolled=0,"n/a",DGET(data,"Ref_hr2",_xlnm.Criteria)*1)</f>
        <v>2.437567</v>
      </c>
      <c r="G9" s="38">
        <f t="shared" si="0"/>
        <v>2.3496752999999999</v>
      </c>
      <c r="H9" s="38">
        <f>IF(Enrolled=0,"n/a",DGET(data,"Pctile50_hr2",_xlnm.Criteria)*1)</f>
        <v>8.7891700000000003E-2</v>
      </c>
      <c r="I9" s="38">
        <f>IF(Enrolled=0,"n/a",DGET(data,"Temp_hr2",_xlnm.Criteria))</f>
        <v>74.231232000000006</v>
      </c>
      <c r="J9" s="38">
        <f>IF(Enrolled=0,"n/a",DGET(data,"Pctile10_hr2",_xlnm.Criteria)*1)</f>
        <v>3.0325100000000001E-2</v>
      </c>
      <c r="K9" s="38">
        <f>IF(Enrolled=0,"n/a",DGET(data,"Pctile30_hr2",_xlnm.Criteria)*1)</f>
        <v>6.4335900000000001E-2</v>
      </c>
      <c r="L9" s="38">
        <f t="shared" ref="L9:L31" si="1">H9</f>
        <v>8.7891700000000003E-2</v>
      </c>
      <c r="M9" s="38">
        <f>IF(Enrolled=0,"n/a",DGET(data,"Pctile70_hr2",_xlnm.Criteria)*1)</f>
        <v>0.1114474</v>
      </c>
      <c r="N9" s="38">
        <f>IF(Enrolled=0,"n/a",DGET(data,"Pctile90_hr2",_xlnm.Criteria)*1)</f>
        <v>0.14545820000000001</v>
      </c>
    </row>
    <row r="10" spans="1:14" ht="17.25" customHeight="1" x14ac:dyDescent="0.2">
      <c r="A10" s="26"/>
      <c r="B10" s="11"/>
      <c r="C10" s="11"/>
      <c r="D10" s="11"/>
      <c r="E10" s="25">
        <v>3</v>
      </c>
      <c r="F10" s="38">
        <f>IF(Enrolled=0,"n/a",DGET(data,"Ref_hr3",_xlnm.Criteria)*1)</f>
        <v>2.2347380000000001</v>
      </c>
      <c r="G10" s="38">
        <f t="shared" si="0"/>
        <v>2.1831249000000001</v>
      </c>
      <c r="H10" s="38">
        <f>IF(Enrolled=0,"n/a",DGET(data,"Pctile50_hr3",_xlnm.Criteria)*1)</f>
        <v>5.1613100000000002E-2</v>
      </c>
      <c r="I10" s="38">
        <f>IF(Enrolled=0,"n/a",DGET(data,"Temp_hr3",_xlnm.Criteria))</f>
        <v>74.872878999999998</v>
      </c>
      <c r="J10" s="38">
        <f>IF(Enrolled=0,"n/a",DGET(data,"Pctile10_hr3",_xlnm.Criteria)*1)</f>
        <v>-6.3083999999999996E-3</v>
      </c>
      <c r="K10" s="38">
        <f>IF(Enrolled=0,"n/a",DGET(data,"Pctile30_hr3",_xlnm.Criteria)*1)</f>
        <v>2.7912099999999999E-2</v>
      </c>
      <c r="L10" s="38">
        <f t="shared" si="1"/>
        <v>5.1613100000000002E-2</v>
      </c>
      <c r="M10" s="38">
        <f>IF(Enrolled=0,"n/a",DGET(data,"Pctile70_hr3",_xlnm.Criteria)*1)</f>
        <v>7.5314099999999995E-2</v>
      </c>
      <c r="N10" s="38">
        <f>IF(Enrolled=0,"n/a",DGET(data,"Pctile90_hr3",_xlnm.Criteria)*1)</f>
        <v>0.1095347</v>
      </c>
    </row>
    <row r="11" spans="1:14" ht="17.25" customHeight="1" x14ac:dyDescent="0.2">
      <c r="A11" s="37"/>
      <c r="B11" s="42"/>
      <c r="C11" s="12"/>
      <c r="D11" s="12"/>
      <c r="E11" s="25">
        <v>4</v>
      </c>
      <c r="F11" s="38">
        <f>IF(Enrolled=0,"n/a",DGET(data,"Ref_hr4",_xlnm.Criteria)*1)</f>
        <v>2.0390320000000002</v>
      </c>
      <c r="G11" s="38">
        <f t="shared" si="0"/>
        <v>2.0366672000000001</v>
      </c>
      <c r="H11" s="38">
        <f>IF(Enrolled=0,"n/a",DGET(data,"Pctile50_hr4",_xlnm.Criteria)*1)</f>
        <v>2.3647999999999998E-3</v>
      </c>
      <c r="I11" s="38">
        <f>IF(Enrolled=0,"n/a",DGET(data,"Temp_hr4",_xlnm.Criteria))</f>
        <v>72.052054999999996</v>
      </c>
      <c r="J11" s="38">
        <f>IF(Enrolled=0,"n/a",DGET(data,"Pctile10_hr4",_xlnm.Criteria)*1)</f>
        <v>-4.5251800000000002E-2</v>
      </c>
      <c r="K11" s="38">
        <f>IF(Enrolled=0,"n/a",DGET(data,"Pctile30_hr4",_xlnm.Criteria)*1)</f>
        <v>-1.7119499999999999E-2</v>
      </c>
      <c r="L11" s="38">
        <f t="shared" si="1"/>
        <v>2.3647999999999998E-3</v>
      </c>
      <c r="M11" s="38">
        <f>IF(Enrolled=0,"n/a",DGET(data,"Pctile70_hr4",_xlnm.Criteria)*1)</f>
        <v>2.18491E-2</v>
      </c>
      <c r="N11" s="38">
        <f>IF(Enrolled=0,"n/a",DGET(data,"Pctile90_hr4",_xlnm.Criteria)*1)</f>
        <v>4.9981400000000002E-2</v>
      </c>
    </row>
    <row r="12" spans="1:14" ht="17.25" customHeight="1" x14ac:dyDescent="0.2">
      <c r="C12" s="12"/>
      <c r="D12" s="12"/>
      <c r="E12" s="25">
        <v>5</v>
      </c>
      <c r="F12" s="38">
        <f>IF(Enrolled=0,"n/a",DGET(data,"Ref_hr5",_xlnm.Criteria)*1)</f>
        <v>1.9770829999999999</v>
      </c>
      <c r="G12" s="38">
        <f t="shared" si="0"/>
        <v>1.9737967999999999</v>
      </c>
      <c r="H12" s="38">
        <f>IF(Enrolled=0,"n/a",DGET(data,"Pctile50_hr5",_xlnm.Criteria)*1)</f>
        <v>3.2862E-3</v>
      </c>
      <c r="I12" s="38">
        <f>IF(Enrolled=0,"n/a",DGET(data,"Temp_hr5",_xlnm.Criteria))</f>
        <v>75.335341999999997</v>
      </c>
      <c r="J12" s="38">
        <f>IF(Enrolled=0,"n/a",DGET(data,"Pctile10_hr5",_xlnm.Criteria)*1)</f>
        <v>-4.3263000000000003E-2</v>
      </c>
      <c r="K12" s="38">
        <f>IF(Enrolled=0,"n/a",DGET(data,"Pctile30_hr5",_xlnm.Criteria)*1)</f>
        <v>-1.5761399999999998E-2</v>
      </c>
      <c r="L12" s="38">
        <f t="shared" si="1"/>
        <v>3.2862E-3</v>
      </c>
      <c r="M12" s="38">
        <f>IF(Enrolled=0,"n/a",DGET(data,"Pctile70_hr5",_xlnm.Criteria)*1)</f>
        <v>2.2333700000000001E-2</v>
      </c>
      <c r="N12" s="38">
        <f>IF(Enrolled=0,"n/a",DGET(data,"Pctile90_hr5",_xlnm.Criteria)*1)</f>
        <v>4.9835299999999999E-2</v>
      </c>
    </row>
    <row r="13" spans="1:14" ht="17.25" customHeight="1" x14ac:dyDescent="0.2">
      <c r="D13" s="4"/>
      <c r="E13" s="25">
        <v>6</v>
      </c>
      <c r="F13" s="38">
        <f>IF(Enrolled=0,"n/a",DGET(data,"Ref_hr6",_xlnm.Criteria)*1)</f>
        <v>2.0413969999999999</v>
      </c>
      <c r="G13" s="38">
        <f t="shared" si="0"/>
        <v>2.0105006999999997</v>
      </c>
      <c r="H13" s="38">
        <f>IF(Enrolled=0,"n/a",DGET(data,"Pctile50_hr6",_xlnm.Criteria)*1)</f>
        <v>3.0896300000000002E-2</v>
      </c>
      <c r="I13" s="38">
        <f>IF(Enrolled=0,"n/a",DGET(data,"Temp_hr6",_xlnm.Criteria))</f>
        <v>73.283287000000001</v>
      </c>
      <c r="J13" s="38">
        <f>IF(Enrolled=0,"n/a",DGET(data,"Pctile10_hr6",_xlnm.Criteria)*1)</f>
        <v>-1.31907E-2</v>
      </c>
      <c r="K13" s="38">
        <f>IF(Enrolled=0,"n/a",DGET(data,"Pctile30_hr6",_xlnm.Criteria)*1)</f>
        <v>1.28562E-2</v>
      </c>
      <c r="L13" s="38">
        <f t="shared" si="1"/>
        <v>3.0896300000000002E-2</v>
      </c>
      <c r="M13" s="38">
        <f>IF(Enrolled=0,"n/a",DGET(data,"Pctile70_hr6",_xlnm.Criteria)*1)</f>
        <v>4.8936300000000002E-2</v>
      </c>
      <c r="N13" s="38">
        <f>IF(Enrolled=0,"n/a",DGET(data,"Pctile90_hr6",_xlnm.Criteria)*1)</f>
        <v>7.49832E-2</v>
      </c>
    </row>
    <row r="14" spans="1:14" ht="16.5" x14ac:dyDescent="0.2">
      <c r="D14" s="4"/>
      <c r="E14" s="25">
        <v>7</v>
      </c>
      <c r="F14" s="38">
        <f>IF(Enrolled=0,"n/a",DGET(data,"Ref_hr7",_xlnm.Criteria)*1)</f>
        <v>2.1816930000000001</v>
      </c>
      <c r="G14" s="38">
        <f t="shared" si="0"/>
        <v>2.2065427</v>
      </c>
      <c r="H14" s="38">
        <f>IF(Enrolled=0,"n/a",DGET(data,"Pctile50_hr7",_xlnm.Criteria)*1)</f>
        <v>-2.4849699999999999E-2</v>
      </c>
      <c r="I14" s="38">
        <f>IF(Enrolled=0,"n/a",DGET(data,"Temp_hr7",_xlnm.Criteria))</f>
        <v>73.820824000000002</v>
      </c>
      <c r="J14" s="38">
        <f>IF(Enrolled=0,"n/a",DGET(data,"Pctile10_hr7",_xlnm.Criteria)*1)</f>
        <v>-7.0816699999999996E-2</v>
      </c>
      <c r="K14" s="38">
        <f>IF(Enrolled=0,"n/a",DGET(data,"Pctile30_hr7",_xlnm.Criteria)*1)</f>
        <v>-4.3659000000000003E-2</v>
      </c>
      <c r="L14" s="38">
        <f t="shared" si="1"/>
        <v>-2.4849699999999999E-2</v>
      </c>
      <c r="M14" s="38">
        <f>IF(Enrolled=0,"n/a",DGET(data,"Pctile70_hr7",_xlnm.Criteria)*1)</f>
        <v>-6.0403000000000002E-3</v>
      </c>
      <c r="N14" s="38">
        <f>IF(Enrolled=0,"n/a",DGET(data,"Pctile90_hr7",_xlnm.Criteria)*1)</f>
        <v>2.1117400000000001E-2</v>
      </c>
    </row>
    <row r="15" spans="1:14" ht="16.5" x14ac:dyDescent="0.2">
      <c r="A15" s="13"/>
      <c r="C15" s="4"/>
      <c r="D15" s="4"/>
      <c r="E15" s="25">
        <v>8</v>
      </c>
      <c r="F15" s="38">
        <f>IF(Enrolled=0,"n/a",DGET(data,"Ref_hr8",_xlnm.Criteria)*1)</f>
        <v>2.149305</v>
      </c>
      <c r="G15" s="38">
        <f t="shared" si="0"/>
        <v>2.2359685000000002</v>
      </c>
      <c r="H15" s="38">
        <f>IF(Enrolled=0,"n/a",DGET(data,"Pctile50_hr8",_xlnm.Criteria)*1)</f>
        <v>-8.6663500000000004E-2</v>
      </c>
      <c r="I15" s="38">
        <f>IF(Enrolled=0,"n/a",DGET(data,"Temp_hr8",_xlnm.Criteria))</f>
        <v>76.462463</v>
      </c>
      <c r="J15" s="38">
        <f>IF(Enrolled=0,"n/a",DGET(data,"Pctile10_hr8",_xlnm.Criteria)*1)</f>
        <v>-0.134821</v>
      </c>
      <c r="K15" s="38">
        <f>IF(Enrolled=0,"n/a",DGET(data,"Pctile30_hr8",_xlnm.Criteria)*1)</f>
        <v>-0.1063692</v>
      </c>
      <c r="L15" s="38">
        <f t="shared" si="1"/>
        <v>-8.6663500000000004E-2</v>
      </c>
      <c r="M15" s="38">
        <f>IF(Enrolled=0,"n/a",DGET(data,"Pctile70_hr8",_xlnm.Criteria)*1)</f>
        <v>-6.6957799999999998E-2</v>
      </c>
      <c r="N15" s="38">
        <f>IF(Enrolled=0,"n/a",DGET(data,"Pctile90_hr8",_xlnm.Criteria)*1)</f>
        <v>-3.8505900000000003E-2</v>
      </c>
    </row>
    <row r="16" spans="1:14" ht="16.5" x14ac:dyDescent="0.2">
      <c r="C16" s="4"/>
      <c r="D16" s="4"/>
      <c r="E16" s="25">
        <v>9</v>
      </c>
      <c r="F16" s="38">
        <f>IF(Enrolled=0,"n/a",DGET(data,"Ref_hr9",_xlnm.Criteria)*1)</f>
        <v>2.093073</v>
      </c>
      <c r="G16" s="38">
        <f t="shared" si="0"/>
        <v>2.1753106999999998</v>
      </c>
      <c r="H16" s="38">
        <f>IF(Enrolled=0,"n/a",DGET(data,"Pctile50_hr9",_xlnm.Criteria)*1)</f>
        <v>-8.2237699999999997E-2</v>
      </c>
      <c r="I16" s="38">
        <f>IF(Enrolled=0,"n/a",DGET(data,"Temp_hr9",_xlnm.Criteria))</f>
        <v>81.156158000000005</v>
      </c>
      <c r="J16" s="38">
        <f>IF(Enrolled=0,"n/a",DGET(data,"Pctile10_hr9",_xlnm.Criteria)*1)</f>
        <v>-0.13494719999999999</v>
      </c>
      <c r="K16" s="38">
        <f>IF(Enrolled=0,"n/a",DGET(data,"Pctile30_hr9",_xlnm.Criteria)*1)</f>
        <v>-0.103806</v>
      </c>
      <c r="L16" s="38">
        <f t="shared" si="1"/>
        <v>-8.2237699999999997E-2</v>
      </c>
      <c r="M16" s="38">
        <f>IF(Enrolled=0,"n/a",DGET(data,"Pctile70_hr9",_xlnm.Criteria)*1)</f>
        <v>-6.0669399999999998E-2</v>
      </c>
      <c r="N16" s="38">
        <f>IF(Enrolled=0,"n/a",DGET(data,"Pctile90_hr9",_xlnm.Criteria)*1)</f>
        <v>-2.9528200000000001E-2</v>
      </c>
    </row>
    <row r="17" spans="3:23" ht="16.5" x14ac:dyDescent="0.2">
      <c r="C17" s="4"/>
      <c r="D17" s="4"/>
      <c r="E17" s="25">
        <v>10</v>
      </c>
      <c r="F17" s="38">
        <f>IF(Enrolled=0,"n/a",DGET(data,"Ref_hr10",_xlnm.Criteria)*1)</f>
        <v>2.157308</v>
      </c>
      <c r="G17" s="38">
        <f t="shared" si="0"/>
        <v>2.2311204999999998</v>
      </c>
      <c r="H17" s="38">
        <f>IF(Enrolled=0,"n/a",DGET(data,"Pctile50_hr10",_xlnm.Criteria)*1)</f>
        <v>-7.3812500000000003E-2</v>
      </c>
      <c r="I17" s="38">
        <f>IF(Enrolled=0,"n/a",DGET(data,"Temp_hr10",_xlnm.Criteria))</f>
        <v>87.693695000000005</v>
      </c>
      <c r="J17" s="38">
        <f>IF(Enrolled=0,"n/a",DGET(data,"Pctile10_hr10",_xlnm.Criteria)*1)</f>
        <v>-0.1344513</v>
      </c>
      <c r="K17" s="38">
        <f>IF(Enrolled=0,"n/a",DGET(data,"Pctile30_hr10",_xlnm.Criteria)*1)</f>
        <v>-9.8625400000000002E-2</v>
      </c>
      <c r="L17" s="38">
        <f t="shared" si="1"/>
        <v>-7.3812500000000003E-2</v>
      </c>
      <c r="M17" s="38">
        <f>IF(Enrolled=0,"n/a",DGET(data,"Pctile70_hr10",_xlnm.Criteria)*1)</f>
        <v>-4.8999599999999997E-2</v>
      </c>
      <c r="N17" s="38">
        <f>IF(Enrolled=0,"n/a",DGET(data,"Pctile90_hr10",_xlnm.Criteria)*1)</f>
        <v>-1.3173799999999999E-2</v>
      </c>
    </row>
    <row r="18" spans="3:23" ht="16.5" x14ac:dyDescent="0.2">
      <c r="C18" s="4"/>
      <c r="D18" s="4"/>
      <c r="E18" s="25">
        <v>11</v>
      </c>
      <c r="F18" s="38">
        <f>IF(Enrolled=0,"n/a",DGET(data,"Ref_hr11",_xlnm.Criteria)*1)</f>
        <v>2.3265289999999998</v>
      </c>
      <c r="G18" s="38">
        <f t="shared" si="0"/>
        <v>2.3807719000000001</v>
      </c>
      <c r="H18" s="38">
        <f>IF(Enrolled=0,"n/a",DGET(data,"Pctile50_hr11",_xlnm.Criteria)*1)</f>
        <v>-5.4242899999999997E-2</v>
      </c>
      <c r="I18" s="38">
        <f>IF(Enrolled=0,"n/a",DGET(data,"Temp_hr11",_xlnm.Criteria))</f>
        <v>97.283287000000001</v>
      </c>
      <c r="J18" s="38">
        <f>IF(Enrolled=0,"n/a",DGET(data,"Pctile10_hr11",_xlnm.Criteria)*1)</f>
        <v>-0.12544939999999999</v>
      </c>
      <c r="K18" s="38">
        <f>IF(Enrolled=0,"n/a",DGET(data,"Pctile30_hr11",_xlnm.Criteria)*1)</f>
        <v>-8.3379999999999996E-2</v>
      </c>
      <c r="L18" s="38">
        <f t="shared" si="1"/>
        <v>-5.4242899999999997E-2</v>
      </c>
      <c r="M18" s="38">
        <f>IF(Enrolled=0,"n/a",DGET(data,"Pctile70_hr11",_xlnm.Criteria)*1)</f>
        <v>-2.51059E-2</v>
      </c>
      <c r="N18" s="38">
        <f>IF(Enrolled=0,"n/a",DGET(data,"Pctile90_hr11",_xlnm.Criteria)*1)</f>
        <v>1.6963499999999999E-2</v>
      </c>
      <c r="S18" s="28"/>
      <c r="T18" s="28"/>
      <c r="U18" s="28"/>
      <c r="V18" s="28"/>
      <c r="W18" s="28"/>
    </row>
    <row r="19" spans="3:23" ht="16.5" x14ac:dyDescent="0.2">
      <c r="C19" s="4"/>
      <c r="D19" s="4"/>
      <c r="E19" s="53">
        <v>12</v>
      </c>
      <c r="F19" s="54">
        <f>IF(Enrolled=0,"n/a",DGET(data,"Ref_hr12",_xlnm.Criteria)*1)</f>
        <v>2.5659420000000002</v>
      </c>
      <c r="G19" s="54">
        <f t="shared" si="0"/>
        <v>2.4027305000000001</v>
      </c>
      <c r="H19" s="54">
        <f>IF(Enrolled=0,"n/a",DGET(data,"Pctile50_hr12",_xlnm.Criteria)*1)</f>
        <v>0.16321150000000001</v>
      </c>
      <c r="I19" s="54">
        <f>IF(Enrolled=0,"n/a",DGET(data,"Temp_hr12",_xlnm.Criteria))</f>
        <v>98.104111000000003</v>
      </c>
      <c r="J19" s="54">
        <f>IF(Enrolled=0,"n/a",DGET(data,"Pctile10_hr12",_xlnm.Criteria)*1)</f>
        <v>8.3569400000000002E-2</v>
      </c>
      <c r="K19" s="54">
        <f>IF(Enrolled=0,"n/a",DGET(data,"Pctile30_hr12",_xlnm.Criteria)*1)</f>
        <v>0.13062260000000001</v>
      </c>
      <c r="L19" s="54">
        <f t="shared" si="1"/>
        <v>0.16321150000000001</v>
      </c>
      <c r="M19" s="54">
        <f>IF(Enrolled=0,"n/a",DGET(data,"Pctile70_hr12",_xlnm.Criteria)*1)</f>
        <v>0.19580040000000001</v>
      </c>
      <c r="N19" s="54">
        <f>IF(Enrolled=0,"n/a",DGET(data,"Pctile90_hr12",_xlnm.Criteria)*1)</f>
        <v>0.2428536</v>
      </c>
      <c r="S19" s="28"/>
      <c r="T19" s="28"/>
      <c r="U19" s="28"/>
      <c r="V19" s="28"/>
      <c r="W19" s="28"/>
    </row>
    <row r="20" spans="3:23" ht="16.5" x14ac:dyDescent="0.2">
      <c r="C20" s="4"/>
      <c r="D20" s="4"/>
      <c r="E20" s="53">
        <v>13</v>
      </c>
      <c r="F20" s="54">
        <f>IF(Enrolled=0,"n/a",DGET(data,"Ref_hr13",_xlnm.Criteria)*1)</f>
        <v>2.8387250000000002</v>
      </c>
      <c r="G20" s="54">
        <f t="shared" si="0"/>
        <v>2.5149519000000002</v>
      </c>
      <c r="H20" s="54">
        <f>IF(Enrolled=0,"n/a",DGET(data,"Pctile50_hr13",_xlnm.Criteria)*1)</f>
        <v>0.32377309999999998</v>
      </c>
      <c r="I20" s="54">
        <f>IF(Enrolled=0,"n/a",DGET(data,"Temp_hr13",_xlnm.Criteria))</f>
        <v>97.052054999999996</v>
      </c>
      <c r="J20" s="54">
        <f>IF(Enrolled=0,"n/a",DGET(data,"Pctile10_hr13",_xlnm.Criteria)*1)</f>
        <v>0.23561090000000001</v>
      </c>
      <c r="K20" s="54">
        <f>IF(Enrolled=0,"n/a",DGET(data,"Pctile30_hr13",_xlnm.Criteria)*1)</f>
        <v>0.2876978</v>
      </c>
      <c r="L20" s="54">
        <f t="shared" si="1"/>
        <v>0.32377309999999998</v>
      </c>
      <c r="M20" s="54">
        <f>IF(Enrolled=0,"n/a",DGET(data,"Pctile70_hr13",_xlnm.Criteria)*1)</f>
        <v>0.35984830000000001</v>
      </c>
      <c r="N20" s="54">
        <f>IF(Enrolled=0,"n/a",DGET(data,"Pctile90_hr13",_xlnm.Criteria)*1)</f>
        <v>0.4119352</v>
      </c>
      <c r="S20" s="28"/>
      <c r="T20" s="28"/>
      <c r="U20" s="28"/>
      <c r="V20" s="28"/>
      <c r="W20" s="28"/>
    </row>
    <row r="21" spans="3:23" ht="16.5" x14ac:dyDescent="0.2">
      <c r="C21" s="4"/>
      <c r="D21" s="4"/>
      <c r="E21" s="53">
        <v>14</v>
      </c>
      <c r="F21" s="54">
        <f>IF(Enrolled=0,"n/a",DGET(data,"Ref_hr14",_xlnm.Criteria)*1)</f>
        <v>3.057474</v>
      </c>
      <c r="G21" s="54">
        <f t="shared" si="0"/>
        <v>2.7286022000000001</v>
      </c>
      <c r="H21" s="54">
        <f>IF(Enrolled=0,"n/a",DGET(data,"Pctile50_hr14",_xlnm.Criteria)*1)</f>
        <v>0.32887179999999999</v>
      </c>
      <c r="I21" s="54">
        <f>IF(Enrolled=0,"n/a",DGET(data,"Temp_hr14",_xlnm.Criteria))</f>
        <v>100.64164</v>
      </c>
      <c r="J21" s="54">
        <f>IF(Enrolled=0,"n/a",DGET(data,"Pctile10_hr14",_xlnm.Criteria)*1)</f>
        <v>0.229825</v>
      </c>
      <c r="K21" s="54">
        <f>IF(Enrolled=0,"n/a",DGET(data,"Pctile30_hr14",_xlnm.Criteria)*1)</f>
        <v>0.2883426</v>
      </c>
      <c r="L21" s="54">
        <f t="shared" si="1"/>
        <v>0.32887179999999999</v>
      </c>
      <c r="M21" s="54">
        <f>IF(Enrolled=0,"n/a",DGET(data,"Pctile70_hr14",_xlnm.Criteria)*1)</f>
        <v>0.36940089999999998</v>
      </c>
      <c r="N21" s="54">
        <f>IF(Enrolled=0,"n/a",DGET(data,"Pctile90_hr14",_xlnm.Criteria)*1)</f>
        <v>0.42791859999999998</v>
      </c>
      <c r="S21" s="28"/>
      <c r="T21" s="28"/>
      <c r="U21" s="28"/>
      <c r="V21" s="28"/>
      <c r="W21" s="28"/>
    </row>
    <row r="22" spans="3:23" ht="16.5" x14ac:dyDescent="0.2">
      <c r="C22" s="4"/>
      <c r="D22" s="4"/>
      <c r="E22" s="53">
        <v>15</v>
      </c>
      <c r="F22" s="54">
        <f>IF(Enrolled=0,"n/a",DGET(data,"Ref_hr15",_xlnm.Criteria)*1)</f>
        <v>3.4134199999999999</v>
      </c>
      <c r="G22" s="54">
        <f t="shared" si="0"/>
        <v>3.0018379999999998</v>
      </c>
      <c r="H22" s="54">
        <f>IF(Enrolled=0,"n/a",DGET(data,"Pctile50_hr15",_xlnm.Criteria)*1)</f>
        <v>0.411582</v>
      </c>
      <c r="I22" s="54">
        <f>IF(Enrolled=0,"n/a",DGET(data,"Temp_hr15",_xlnm.Criteria))</f>
        <v>101.23123</v>
      </c>
      <c r="J22" s="54">
        <f>IF(Enrolled=0,"n/a",DGET(data,"Pctile10_hr15",_xlnm.Criteria)*1)</f>
        <v>0.30593530000000002</v>
      </c>
      <c r="K22" s="54">
        <f>IF(Enrolled=0,"n/a",DGET(data,"Pctile30_hr15",_xlnm.Criteria)*1)</f>
        <v>0.36835220000000002</v>
      </c>
      <c r="L22" s="54">
        <f t="shared" si="1"/>
        <v>0.411582</v>
      </c>
      <c r="M22" s="54">
        <f>IF(Enrolled=0,"n/a",DGET(data,"Pctile70_hr15",_xlnm.Criteria)*1)</f>
        <v>0.45481179999999999</v>
      </c>
      <c r="N22" s="54">
        <f>IF(Enrolled=0,"n/a",DGET(data,"Pctile90_hr15",_xlnm.Criteria)*1)</f>
        <v>0.51722869999999999</v>
      </c>
      <c r="S22" s="28"/>
      <c r="T22" s="28"/>
      <c r="U22" s="28"/>
      <c r="V22" s="28"/>
      <c r="W22" s="28"/>
    </row>
    <row r="23" spans="3:23" ht="16.5" x14ac:dyDescent="0.2">
      <c r="C23" s="4"/>
      <c r="D23" s="4"/>
      <c r="E23" s="53">
        <v>16</v>
      </c>
      <c r="F23" s="54">
        <f>IF(Enrolled=0,"n/a",DGET(data,"Ref_hr16",_xlnm.Criteria)*1)</f>
        <v>3.8043719999999999</v>
      </c>
      <c r="G23" s="54">
        <f t="shared" si="0"/>
        <v>3.2502341000000001</v>
      </c>
      <c r="H23" s="54">
        <f>IF(Enrolled=0,"n/a",DGET(data,"Pctile50_hr16",_xlnm.Criteria)*1)</f>
        <v>0.55413789999999996</v>
      </c>
      <c r="I23" s="54">
        <f>IF(Enrolled=0,"n/a",DGET(data,"Temp_hr16",_xlnm.Criteria))</f>
        <v>98.820824000000002</v>
      </c>
      <c r="J23" s="54">
        <f>IF(Enrolled=0,"n/a",DGET(data,"Pctile10_hr16",_xlnm.Criteria)*1)</f>
        <v>0.44540760000000001</v>
      </c>
      <c r="K23" s="54">
        <f>IF(Enrolled=0,"n/a",DGET(data,"Pctile30_hr16",_xlnm.Criteria)*1)</f>
        <v>0.50964640000000005</v>
      </c>
      <c r="L23" s="54">
        <f t="shared" si="1"/>
        <v>0.55413789999999996</v>
      </c>
      <c r="M23" s="54">
        <f>IF(Enrolled=0,"n/a",DGET(data,"Pctile70_hr16",_xlnm.Criteria)*1)</f>
        <v>0.59862939999999998</v>
      </c>
      <c r="N23" s="54">
        <f>IF(Enrolled=0,"n/a",DGET(data,"Pctile90_hr16",_xlnm.Criteria)*1)</f>
        <v>0.66286820000000002</v>
      </c>
      <c r="S23" s="28"/>
      <c r="T23" s="28"/>
      <c r="U23" s="28"/>
      <c r="V23" s="28"/>
      <c r="W23" s="28"/>
    </row>
    <row r="24" spans="3:23" ht="16.5" x14ac:dyDescent="0.2">
      <c r="C24" s="4"/>
      <c r="D24" s="4"/>
      <c r="E24" s="53">
        <v>17</v>
      </c>
      <c r="F24" s="54">
        <f>IF(Enrolled=0,"n/a",DGET(data,"Ref_hr17",_xlnm.Criteria)*1)</f>
        <v>4.1962440000000001</v>
      </c>
      <c r="G24" s="54">
        <f t="shared" si="0"/>
        <v>3.5615073000000002</v>
      </c>
      <c r="H24" s="54">
        <f>IF(Enrolled=0,"n/a",DGET(data,"Pctile50_hr17",_xlnm.Criteria)*1)</f>
        <v>0.63473670000000004</v>
      </c>
      <c r="I24" s="54">
        <f>IF(Enrolled=0,"n/a",DGET(data,"Temp_hr17",_xlnm.Criteria))</f>
        <v>100.23123</v>
      </c>
      <c r="J24" s="54">
        <f>IF(Enrolled=0,"n/a",DGET(data,"Pctile10_hr17",_xlnm.Criteria)*1)</f>
        <v>0.51908330000000003</v>
      </c>
      <c r="K24" s="54">
        <f>IF(Enrolled=0,"n/a",DGET(data,"Pctile30_hr17",_xlnm.Criteria)*1)</f>
        <v>0.5874123</v>
      </c>
      <c r="L24" s="54">
        <f t="shared" si="1"/>
        <v>0.63473670000000004</v>
      </c>
      <c r="M24" s="54">
        <f>IF(Enrolled=0,"n/a",DGET(data,"Pctile70_hr17",_xlnm.Criteria)*1)</f>
        <v>0.68206109999999998</v>
      </c>
      <c r="N24" s="54">
        <f>IF(Enrolled=0,"n/a",DGET(data,"Pctile90_hr17",_xlnm.Criteria)*1)</f>
        <v>0.75039009999999995</v>
      </c>
      <c r="S24" s="28"/>
      <c r="T24" s="28"/>
      <c r="U24" s="28"/>
      <c r="V24" s="28"/>
      <c r="W24" s="28"/>
    </row>
    <row r="25" spans="3:23" ht="16.5" x14ac:dyDescent="0.2">
      <c r="C25" s="4"/>
      <c r="D25" s="4"/>
      <c r="E25" s="53">
        <v>18</v>
      </c>
      <c r="F25" s="54">
        <f>IF(Enrolled=0,"n/a",DGET(data,"Ref_hr18",_xlnm.Criteria)*1)</f>
        <v>4.7037209999999998</v>
      </c>
      <c r="G25" s="54">
        <f t="shared" si="0"/>
        <v>4.0208550999999995</v>
      </c>
      <c r="H25" s="54">
        <f>IF(Enrolled=0,"n/a",DGET(data,"Pctile50_hr18",_xlnm.Criteria)*1)</f>
        <v>0.68286590000000003</v>
      </c>
      <c r="I25" s="54">
        <f>IF(Enrolled=0,"n/a",DGET(data,"Temp_hr18",_xlnm.Criteria))</f>
        <v>98.410408000000004</v>
      </c>
      <c r="J25" s="54">
        <f>IF(Enrolled=0,"n/a",DGET(data,"Pctile10_hr18",_xlnm.Criteria)*1)</f>
        <v>0.56148790000000004</v>
      </c>
      <c r="K25" s="54">
        <f>IF(Enrolled=0,"n/a",DGET(data,"Pctile30_hr18",_xlnm.Criteria)*1)</f>
        <v>0.63319899999999996</v>
      </c>
      <c r="L25" s="54">
        <f t="shared" si="1"/>
        <v>0.68286590000000003</v>
      </c>
      <c r="M25" s="54">
        <f>IF(Enrolled=0,"n/a",DGET(data,"Pctile70_hr18",_xlnm.Criteria)*1)</f>
        <v>0.73253290000000004</v>
      </c>
      <c r="N25" s="54">
        <f>IF(Enrolled=0,"n/a",DGET(data,"Pctile90_hr18",_xlnm.Criteria)*1)</f>
        <v>0.80424399999999996</v>
      </c>
      <c r="S25" s="28"/>
      <c r="T25" s="28"/>
      <c r="U25" s="28"/>
      <c r="V25" s="28"/>
      <c r="W25" s="28"/>
    </row>
    <row r="26" spans="3:23" ht="16.5" x14ac:dyDescent="0.2">
      <c r="C26" s="4"/>
      <c r="D26" s="4"/>
      <c r="E26" s="25">
        <v>19</v>
      </c>
      <c r="F26" s="38">
        <f>IF(Enrolled=0,"n/a",DGET(data,"Ref_hr19",_xlnm.Criteria)*1)</f>
        <v>5.2339409999999997</v>
      </c>
      <c r="G26" s="38">
        <f t="shared" si="0"/>
        <v>4.9393858000000002</v>
      </c>
      <c r="H26" s="38">
        <f>IF(Enrolled=0,"n/a",DGET(data,"Pctile50_hr19",_xlnm.Criteria)*1)</f>
        <v>0.29455520000000002</v>
      </c>
      <c r="I26" s="38">
        <f>IF(Enrolled=0,"n/a",DGET(data,"Temp_hr19",_xlnm.Criteria))</f>
        <v>91.820824000000002</v>
      </c>
      <c r="J26" s="38">
        <f>IF(Enrolled=0,"n/a",DGET(data,"Pctile10_hr19",_xlnm.Criteria)*1)</f>
        <v>0.17154759999999999</v>
      </c>
      <c r="K26" s="38">
        <f>IF(Enrolled=0,"n/a",DGET(data,"Pctile30_hr19",_xlnm.Criteria)*1)</f>
        <v>0.24422150000000001</v>
      </c>
      <c r="L26" s="38">
        <f t="shared" si="1"/>
        <v>0.29455520000000002</v>
      </c>
      <c r="M26" s="38">
        <f>IF(Enrolled=0,"n/a",DGET(data,"Pctile70_hr19",_xlnm.Criteria)*1)</f>
        <v>0.344889</v>
      </c>
      <c r="N26" s="38">
        <f>IF(Enrolled=0,"n/a",DGET(data,"Pctile90_hr19",_xlnm.Criteria)*1)</f>
        <v>0.41756290000000001</v>
      </c>
      <c r="S26" s="28"/>
      <c r="T26" s="28"/>
      <c r="U26" s="28"/>
      <c r="V26" s="28"/>
      <c r="W26" s="28"/>
    </row>
    <row r="27" spans="3:23" ht="16.5" x14ac:dyDescent="0.2">
      <c r="C27" s="4"/>
      <c r="D27" s="4"/>
      <c r="E27" s="25">
        <v>20</v>
      </c>
      <c r="F27" s="38">
        <f>IF(Enrolled=0,"n/a",DGET(data,"Ref_hr20",_xlnm.Criteria)*1)</f>
        <v>5.6299910000000004</v>
      </c>
      <c r="G27" s="38">
        <f t="shared" si="0"/>
        <v>5.6281435000000002</v>
      </c>
      <c r="H27" s="38">
        <f>IF(Enrolled=0,"n/a",DGET(data,"Pctile50_hr20",_xlnm.Criteria)*1)</f>
        <v>1.8475E-3</v>
      </c>
      <c r="I27" s="38">
        <f>IF(Enrolled=0,"n/a",DGET(data,"Temp_hr20",_xlnm.Criteria))</f>
        <v>85.462463</v>
      </c>
      <c r="J27" s="38">
        <f>IF(Enrolled=0,"n/a",DGET(data,"Pctile10_hr20",_xlnm.Criteria)*1)</f>
        <v>-0.1223129</v>
      </c>
      <c r="K27" s="38">
        <f>IF(Enrolled=0,"n/a",DGET(data,"Pctile30_hr20",_xlnm.Criteria)*1)</f>
        <v>-4.8957899999999999E-2</v>
      </c>
      <c r="L27" s="38">
        <f t="shared" si="1"/>
        <v>1.8475E-3</v>
      </c>
      <c r="M27" s="38">
        <f>IF(Enrolled=0,"n/a",DGET(data,"Pctile70_hr20",_xlnm.Criteria)*1)</f>
        <v>5.2652999999999998E-2</v>
      </c>
      <c r="N27" s="38">
        <f>IF(Enrolled=0,"n/a",DGET(data,"Pctile90_hr20",_xlnm.Criteria)*1)</f>
        <v>0.12600800000000001</v>
      </c>
      <c r="S27" s="28"/>
      <c r="T27" s="28"/>
      <c r="U27" s="28"/>
      <c r="V27" s="28"/>
      <c r="W27" s="28"/>
    </row>
    <row r="28" spans="3:23" ht="16.5" x14ac:dyDescent="0.2">
      <c r="C28" s="4"/>
      <c r="D28" s="4"/>
      <c r="E28" s="25">
        <v>21</v>
      </c>
      <c r="F28" s="38">
        <f>IF(Enrolled=0,"n/a",DGET(data,"Ref_hr21",_xlnm.Criteria)*1)</f>
        <v>5.5667590000000002</v>
      </c>
      <c r="G28" s="38">
        <f t="shared" si="0"/>
        <v>5.6507142000000004</v>
      </c>
      <c r="H28" s="38">
        <f>IF(Enrolled=0,"n/a",DGET(data,"Pctile50_hr21",_xlnm.Criteria)*1)</f>
        <v>-8.3955199999999994E-2</v>
      </c>
      <c r="I28" s="38">
        <f>IF(Enrolled=0,"n/a",DGET(data,"Temp_hr21",_xlnm.Criteria))</f>
        <v>85.820824000000002</v>
      </c>
      <c r="J28" s="38">
        <f>IF(Enrolled=0,"n/a",DGET(data,"Pctile10_hr21",_xlnm.Criteria)*1)</f>
        <v>-0.20139770000000001</v>
      </c>
      <c r="K28" s="38">
        <f>IF(Enrolled=0,"n/a",DGET(data,"Pctile30_hr21",_xlnm.Criteria)*1)</f>
        <v>-0.13201180000000001</v>
      </c>
      <c r="L28" s="38">
        <f t="shared" si="1"/>
        <v>-8.3955199999999994E-2</v>
      </c>
      <c r="M28" s="38">
        <f>IF(Enrolled=0,"n/a",DGET(data,"Pctile70_hr21",_xlnm.Criteria)*1)</f>
        <v>-3.5898699999999999E-2</v>
      </c>
      <c r="N28" s="38">
        <f>IF(Enrolled=0,"n/a",DGET(data,"Pctile90_hr21",_xlnm.Criteria)*1)</f>
        <v>3.3487200000000002E-2</v>
      </c>
      <c r="S28" s="28"/>
      <c r="T28" s="28"/>
      <c r="U28" s="28"/>
      <c r="V28" s="28"/>
      <c r="W28" s="28"/>
    </row>
    <row r="29" spans="3:23" ht="16.5" x14ac:dyDescent="0.2">
      <c r="C29" s="4"/>
      <c r="D29" s="4"/>
      <c r="E29" s="25">
        <v>22</v>
      </c>
      <c r="F29" s="38">
        <f>IF(Enrolled=0,"n/a",DGET(data,"Ref_hr22",_xlnm.Criteria)*1)</f>
        <v>5.1329859999999998</v>
      </c>
      <c r="G29" s="38">
        <f t="shared" si="0"/>
        <v>5.2962132999999998</v>
      </c>
      <c r="H29" s="38">
        <f>IF(Enrolled=0,"n/a",DGET(data,"Pctile50_hr22",_xlnm.Criteria)*1)</f>
        <v>-0.16322729999999999</v>
      </c>
      <c r="I29" s="38">
        <f>IF(Enrolled=0,"n/a",DGET(data,"Temp_hr22",_xlnm.Criteria))</f>
        <v>85.820824000000002</v>
      </c>
      <c r="J29" s="38">
        <f>IF(Enrolled=0,"n/a",DGET(data,"Pctile10_hr22",_xlnm.Criteria)*1)</f>
        <v>-0.2721768</v>
      </c>
      <c r="K29" s="38">
        <f>IF(Enrolled=0,"n/a",DGET(data,"Pctile30_hr22",_xlnm.Criteria)*1)</f>
        <v>-0.20780850000000001</v>
      </c>
      <c r="L29" s="38">
        <f t="shared" si="1"/>
        <v>-0.16322729999999999</v>
      </c>
      <c r="M29" s="38">
        <f>IF(Enrolled=0,"n/a",DGET(data,"Pctile70_hr22",_xlnm.Criteria)*1)</f>
        <v>-0.118646</v>
      </c>
      <c r="N29" s="38">
        <f>IF(Enrolled=0,"n/a",DGET(data,"Pctile90_hr22",_xlnm.Criteria)*1)</f>
        <v>-5.4277800000000001E-2</v>
      </c>
    </row>
    <row r="30" spans="3:23" ht="16.5" x14ac:dyDescent="0.2">
      <c r="C30" s="4"/>
      <c r="D30" s="4"/>
      <c r="E30" s="25">
        <v>23</v>
      </c>
      <c r="F30" s="38">
        <f>IF(Enrolled=0,"n/a",DGET(data,"Ref_hr23",_xlnm.Criteria)*1)</f>
        <v>4.554087</v>
      </c>
      <c r="G30" s="38">
        <f t="shared" si="0"/>
        <v>4.7405946999999999</v>
      </c>
      <c r="H30" s="38">
        <f>IF(Enrolled=0,"n/a",DGET(data,"Pctile50_hr23",_xlnm.Criteria)*1)</f>
        <v>-0.1865077</v>
      </c>
      <c r="I30" s="38">
        <f>IF(Enrolled=0,"n/a",DGET(data,"Temp_hr23",_xlnm.Criteria))</f>
        <v>87.537537</v>
      </c>
      <c r="J30" s="38">
        <f>IF(Enrolled=0,"n/a",DGET(data,"Pctile10_hr23",_xlnm.Criteria)*1)</f>
        <v>-0.28542800000000002</v>
      </c>
      <c r="K30" s="38">
        <f>IF(Enrolled=0,"n/a",DGET(data,"Pctile30_hr23",_xlnm.Criteria)*1)</f>
        <v>-0.2269851</v>
      </c>
      <c r="L30" s="38">
        <f t="shared" si="1"/>
        <v>-0.1865077</v>
      </c>
      <c r="M30" s="38">
        <f>IF(Enrolled=0,"n/a",DGET(data,"Pctile70_hr23",_xlnm.Criteria)*1)</f>
        <v>-0.1460303</v>
      </c>
      <c r="N30" s="38">
        <f>IF(Enrolled=0,"n/a",DGET(data,"Pctile90_hr23",_xlnm.Criteria)*1)</f>
        <v>-8.7587399999999996E-2</v>
      </c>
    </row>
    <row r="31" spans="3:23" ht="17.25" thickBot="1" x14ac:dyDescent="0.25">
      <c r="C31" s="4"/>
      <c r="D31" s="4"/>
      <c r="E31" s="25">
        <v>24</v>
      </c>
      <c r="F31" s="38">
        <f>IF(Enrolled=0,"n/a",DGET(data,"Ref_hr24",_xlnm.Criteria)*1)</f>
        <v>4.0211040000000002</v>
      </c>
      <c r="G31" s="38">
        <f t="shared" si="0"/>
        <v>4.1594598999999999</v>
      </c>
      <c r="H31" s="38">
        <f>IF(Enrolled=0,"n/a",DGET(data,"Pctile50_hr24",_xlnm.Criteria)*1)</f>
        <v>-0.1383559</v>
      </c>
      <c r="I31" s="38">
        <f>IF(Enrolled=0,"n/a",DGET(data,"Temp_hr24",_xlnm.Criteria))</f>
        <v>86.947945000000004</v>
      </c>
      <c r="J31" s="38">
        <f>IF(Enrolled=0,"n/a",DGET(data,"Pctile10_hr24",_xlnm.Criteria)*1)</f>
        <v>-0.22704089999999999</v>
      </c>
      <c r="K31" s="38">
        <f>IF(Enrolled=0,"n/a",DGET(data,"Pctile30_hr24",_xlnm.Criteria)*1)</f>
        <v>-0.1746451</v>
      </c>
      <c r="L31" s="38">
        <f t="shared" si="1"/>
        <v>-0.1383559</v>
      </c>
      <c r="M31" s="38">
        <f>IF(Enrolled=0,"n/a",DGET(data,"Pctile70_hr24",_xlnm.Criteria)*1)</f>
        <v>-0.1020667</v>
      </c>
      <c r="N31" s="38">
        <f>IF(Enrolled=0,"n/a",DGET(data,"Pctile90_hr24",_xlnm.Criteria)*1)</f>
        <v>-4.9670899999999997E-2</v>
      </c>
    </row>
    <row r="32" spans="3:23" ht="49.5" customHeight="1" thickBot="1" x14ac:dyDescent="0.35">
      <c r="C32" s="4"/>
      <c r="D32" s="4"/>
      <c r="E32" s="59"/>
      <c r="F32" s="69" t="str">
        <f>"Estimated Reference
Energy Use
("&amp;IF(Result_type="Aggregate Impact","MWh)","kWh)")</f>
        <v>Estimated Reference
Energy Use
(MWh)</v>
      </c>
      <c r="G32" s="69" t="str">
        <f>"Observed 
Energy Use ("&amp;IF(Result_type="Aggregate Impact","MWh)","kWh)")</f>
        <v>Observed 
Energy Use (MWh)</v>
      </c>
      <c r="H32" s="69" t="str">
        <f>"Estimated 
Change in Energy Use ("&amp;IF(Result_type="Aggregate Impact","MWh)","kWh)")</f>
        <v>Estimated 
Change in Energy Use (MWh)</v>
      </c>
      <c r="I32" s="71" t="s">
        <v>185</v>
      </c>
      <c r="J32" s="60" t="str">
        <f>"Uncertainty Adjusted Impact ("&amp;IF(Result_type="Aggregate Impact","MWh/hour) - Percentiles","kWh/hour) - Percentiles")</f>
        <v>Uncertainty Adjusted Impact (MWh/hour) - Percentiles</v>
      </c>
      <c r="K32" s="60"/>
      <c r="L32" s="60"/>
      <c r="M32" s="60"/>
      <c r="N32" s="61"/>
      <c r="O32" s="67" t="s">
        <v>199</v>
      </c>
    </row>
    <row r="33" spans="3:15" ht="17.25" thickBot="1" x14ac:dyDescent="0.35">
      <c r="C33" s="4"/>
      <c r="D33" s="4"/>
      <c r="E33" s="62" t="s">
        <v>188</v>
      </c>
      <c r="F33" s="70"/>
      <c r="G33" s="70"/>
      <c r="H33" s="70"/>
      <c r="I33" s="70"/>
      <c r="J33" s="63" t="s">
        <v>8</v>
      </c>
      <c r="K33" s="63" t="s">
        <v>9</v>
      </c>
      <c r="L33" s="63" t="s">
        <v>10</v>
      </c>
      <c r="M33" s="63" t="s">
        <v>11</v>
      </c>
      <c r="N33" s="64" t="s">
        <v>12</v>
      </c>
      <c r="O33" s="68"/>
    </row>
    <row r="34" spans="3:15" ht="17.25" thickBot="1" x14ac:dyDescent="0.35">
      <c r="C34" s="4"/>
      <c r="D34" s="4"/>
      <c r="E34" s="14" t="s">
        <v>13</v>
      </c>
      <c r="F34" s="15">
        <f>IF(Enrolled=0,"n/a",SUM(F8:F31))</f>
        <v>79.086635000000001</v>
      </c>
      <c r="G34" s="16">
        <f>IF(Enrolled=0,"n/a",SUM(G8:G31))</f>
        <v>76.336161100000012</v>
      </c>
      <c r="H34" s="17">
        <f>IF(Enrolled=0,"n/a",SUM(H8:H31))</f>
        <v>2.7504738999999998</v>
      </c>
      <c r="I34" s="17">
        <f>IF(Enrolled=0,"n/a",SUM(Lookups!C11:C34))</f>
        <v>285.83286000000004</v>
      </c>
      <c r="J34" s="17">
        <f>IF(Enrolled=0,"n/a",Lookups!D40)</f>
        <v>2.7074620818917223</v>
      </c>
      <c r="K34" s="17">
        <f>IF(Enrolled=0,"n/a",Lookups!E40)</f>
        <v>2.7328738126723389</v>
      </c>
      <c r="L34" s="17">
        <f>IF(Enrolled=0,"n/a",Lookups!F40)</f>
        <v>2.7504738999999998</v>
      </c>
      <c r="M34" s="17">
        <f>IF(Enrolled=0,"n/a",Lookups!G40)</f>
        <v>2.7680739873276607</v>
      </c>
      <c r="N34" s="50">
        <f>IF(Enrolled=0,"n/a",Lookups!H40)</f>
        <v>2.7934857181082773</v>
      </c>
      <c r="O34" s="55">
        <f>IF(Enrolled=0,"n/a",H34/F34)</f>
        <v>3.4777986191977944E-2</v>
      </c>
    </row>
    <row r="35" spans="3:15" ht="17.25" thickBot="1" x14ac:dyDescent="0.35">
      <c r="C35" s="4"/>
      <c r="D35" s="4"/>
      <c r="E35" s="14" t="s">
        <v>205</v>
      </c>
      <c r="F35" s="39">
        <f>IF(Enrolled=0,"n/a",AVERAGE(F19:F25))</f>
        <v>3.5114139999999998</v>
      </c>
      <c r="G35" s="17">
        <f>IF(Enrolled=0,"n/a",AVERAGE(G19:G25))</f>
        <v>3.0686741571428571</v>
      </c>
      <c r="H35" s="82">
        <f>IF(Enrolled=0,"n/a",AVERAGE(H19:H25))</f>
        <v>0.44273984285714285</v>
      </c>
      <c r="I35" s="17">
        <f>IF(Enrolled=0,"n/a",AVERAGE(I19:I25))</f>
        <v>99.213071142857146</v>
      </c>
      <c r="J35" s="17">
        <f>Lookups!D41</f>
        <v>0.36238591892171362</v>
      </c>
      <c r="K35" s="17">
        <f>Lookups!E41</f>
        <v>0.40985966851009231</v>
      </c>
      <c r="L35" s="17">
        <f>Lookups!F41</f>
        <v>0.44273984285714285</v>
      </c>
      <c r="M35" s="17">
        <f>Lookups!G41</f>
        <v>0.47562001720419333</v>
      </c>
      <c r="N35" s="50">
        <f>Lookups!H41</f>
        <v>0.52309376679257213</v>
      </c>
      <c r="O35" s="55">
        <f>IF(H35="n/a","n/a",H35/F35)</f>
        <v>0.12608591378206696</v>
      </c>
    </row>
    <row r="37" spans="3:15" ht="15" x14ac:dyDescent="0.25">
      <c r="E37" s="18"/>
      <c r="F37" s="28"/>
      <c r="G37" s="45"/>
      <c r="H37" s="46"/>
      <c r="I37" s="28"/>
    </row>
    <row r="38" spans="3:15" ht="15" x14ac:dyDescent="0.25">
      <c r="E38" s="18"/>
      <c r="F38" s="28"/>
      <c r="G38" s="45"/>
      <c r="H38" s="46"/>
      <c r="I38" s="29"/>
      <c r="J38" s="28"/>
      <c r="K38" s="28"/>
      <c r="L38" s="28"/>
      <c r="M38" s="28"/>
      <c r="N38" s="28"/>
    </row>
    <row r="39" spans="3:15" x14ac:dyDescent="0.2">
      <c r="E39" s="18"/>
      <c r="F39" s="28"/>
      <c r="G39" s="28"/>
      <c r="H39" s="29"/>
      <c r="I39" s="28"/>
    </row>
    <row r="41" spans="3:15" x14ac:dyDescent="0.2">
      <c r="E41" s="18"/>
      <c r="F41" s="28"/>
      <c r="G41" s="28"/>
      <c r="H41" s="28"/>
      <c r="I41" s="29"/>
    </row>
  </sheetData>
  <mergeCells count="17">
    <mergeCell ref="K6:K7"/>
    <mergeCell ref="L6:L7"/>
    <mergeCell ref="M6:M7"/>
    <mergeCell ref="A1:B1"/>
    <mergeCell ref="O32:O33"/>
    <mergeCell ref="F32:F33"/>
    <mergeCell ref="G32:G33"/>
    <mergeCell ref="H32:H33"/>
    <mergeCell ref="I32:I33"/>
    <mergeCell ref="E4:E7"/>
    <mergeCell ref="F4:F7"/>
    <mergeCell ref="G4:G7"/>
    <mergeCell ref="H4:H7"/>
    <mergeCell ref="I4:I7"/>
    <mergeCell ref="N6:N7"/>
    <mergeCell ref="J4:N5"/>
    <mergeCell ref="J6:J7"/>
  </mergeCells>
  <phoneticPr fontId="2" type="noConversion"/>
  <conditionalFormatting sqref="C2">
    <cfRule type="expression" dxfId="1" priority="45">
      <formula>size_lca_flag=1</formula>
    </cfRule>
  </conditionalFormatting>
  <dataValidations count="4">
    <dataValidation type="list" allowBlank="1" showInputMessage="1" showErrorMessage="1" sqref="B6">
      <formula1>Result_type_list</formula1>
    </dataValidation>
    <dataValidation type="list" allowBlank="1" showInputMessage="1" showErrorMessage="1" sqref="B11">
      <formula1>notice_list</formula1>
    </dataValidation>
    <dataValidation type="list" allowBlank="1" showInputMessage="1" showErrorMessage="1" sqref="B8">
      <formula1>date_list</formula1>
    </dataValidation>
    <dataValidation type="list" allowBlank="1" showInputMessage="1" showErrorMessage="1" sqref="B7">
      <formula1>climate_list</formula1>
    </dataValidation>
  </dataValidations>
  <pageMargins left="0.75" right="0.75" top="1" bottom="1" header="0.5" footer="0.5"/>
  <pageSetup scale="54" orientation="landscape" r:id="rId1"/>
  <headerFooter alignWithMargins="0"/>
  <ignoredErrors>
    <ignoredError sqref="O35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D461D41-22AB-4A91-B90F-E92D5EDD5FE2}">
            <xm:f>Lookups!$D$8=1</xm:f>
            <x14:dxf>
              <fill>
                <patternFill>
                  <bgColor theme="0" tint="-0.14996795556505021"/>
                </patternFill>
              </fill>
            </x14:dxf>
          </x14:cfRule>
          <xm:sqref>E8:N31 G2 H37:H38 E34:N35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workbookViewId="0">
      <selection sqref="A1:B1"/>
    </sheetView>
  </sheetViews>
  <sheetFormatPr defaultRowHeight="12.75" x14ac:dyDescent="0.2"/>
  <cols>
    <col min="1" max="1" width="16.85546875" customWidth="1"/>
    <col min="2" max="2" width="9.7109375" bestFit="1" customWidth="1"/>
    <col min="3" max="3" width="24.140625" bestFit="1" customWidth="1"/>
    <col min="4" max="4" width="17.140625" bestFit="1" customWidth="1"/>
    <col min="5" max="5" width="9.5703125" bestFit="1" customWidth="1"/>
    <col min="6" max="6" width="8.85546875" bestFit="1" customWidth="1"/>
    <col min="7" max="7" width="5.5703125" bestFit="1" customWidth="1"/>
    <col min="8" max="8" width="10.85546875" bestFit="1" customWidth="1"/>
    <col min="10" max="10" width="25.5703125" bestFit="1" customWidth="1"/>
    <col min="11" max="11" width="31" bestFit="1" customWidth="1"/>
  </cols>
  <sheetData>
    <row r="1" spans="1:13" x14ac:dyDescent="0.2">
      <c r="G1" s="1"/>
      <c r="H1" s="1"/>
    </row>
    <row r="3" spans="1:13" ht="15" x14ac:dyDescent="0.25">
      <c r="A3" s="20"/>
      <c r="C3" s="19" t="s">
        <v>196</v>
      </c>
      <c r="D3" s="19" t="s">
        <v>215</v>
      </c>
      <c r="E3" s="19" t="s">
        <v>207</v>
      </c>
      <c r="F3" s="19" t="s">
        <v>208</v>
      </c>
      <c r="G3" s="40"/>
      <c r="J3" s="2" t="s">
        <v>196</v>
      </c>
      <c r="K3" s="8" t="s">
        <v>215</v>
      </c>
      <c r="L3" s="8" t="s">
        <v>207</v>
      </c>
      <c r="M3" s="8" t="s">
        <v>208</v>
      </c>
    </row>
    <row r="4" spans="1:13" x14ac:dyDescent="0.2">
      <c r="A4" s="22"/>
      <c r="C4" t="str">
        <f>Result_type</f>
        <v>Aggregate Impact</v>
      </c>
      <c r="D4" s="4" t="str">
        <f>rate</f>
        <v>TOU-DR-P</v>
      </c>
      <c r="E4" s="56">
        <f>date</f>
        <v>42639</v>
      </c>
      <c r="F4" t="str">
        <f>climate</f>
        <v>All</v>
      </c>
      <c r="G4" s="41"/>
      <c r="J4" t="s">
        <v>0</v>
      </c>
      <c r="K4" s="30" t="s">
        <v>214</v>
      </c>
      <c r="L4" s="56">
        <v>42639</v>
      </c>
      <c r="M4" t="s">
        <v>209</v>
      </c>
    </row>
    <row r="5" spans="1:13" ht="13.5" x14ac:dyDescent="0.25">
      <c r="A5" s="20"/>
      <c r="B5" s="20"/>
      <c r="C5" s="20"/>
      <c r="D5" s="20"/>
      <c r="E5" s="20"/>
      <c r="F5" s="20"/>
      <c r="G5" s="21"/>
      <c r="H5" s="21"/>
      <c r="J5" t="s">
        <v>197</v>
      </c>
      <c r="K5" s="30"/>
      <c r="L5" s="30"/>
      <c r="M5" t="s">
        <v>210</v>
      </c>
    </row>
    <row r="6" spans="1:13" x14ac:dyDescent="0.2">
      <c r="A6" s="22"/>
      <c r="B6" s="22"/>
      <c r="C6" s="43" t="s">
        <v>191</v>
      </c>
      <c r="D6" s="23">
        <f>DGET(data,"enrolled",_xlnm.Criteria)</f>
        <v>3063</v>
      </c>
      <c r="F6" s="23"/>
      <c r="G6" s="23"/>
      <c r="H6" s="23"/>
      <c r="L6" s="30"/>
      <c r="M6" t="s">
        <v>211</v>
      </c>
    </row>
    <row r="7" spans="1:13" ht="13.5" x14ac:dyDescent="0.25">
      <c r="A7" s="20"/>
      <c r="C7" s="30" t="s">
        <v>187</v>
      </c>
      <c r="D7">
        <v>0</v>
      </c>
      <c r="L7" s="30"/>
    </row>
    <row r="8" spans="1:13" ht="13.5" x14ac:dyDescent="0.25">
      <c r="A8" s="21"/>
      <c r="C8" s="30" t="s">
        <v>198</v>
      </c>
      <c r="D8">
        <v>0</v>
      </c>
      <c r="L8" s="30"/>
    </row>
    <row r="9" spans="1:13" x14ac:dyDescent="0.2">
      <c r="L9" s="30"/>
    </row>
    <row r="10" spans="1:13" x14ac:dyDescent="0.2">
      <c r="C10" s="35" t="s">
        <v>186</v>
      </c>
      <c r="L10" s="30"/>
    </row>
    <row r="11" spans="1:13" x14ac:dyDescent="0.2">
      <c r="B11">
        <v>1</v>
      </c>
      <c r="C11" s="36">
        <f>MAX(0,Table!I8-75)</f>
        <v>0</v>
      </c>
      <c r="E11" s="30"/>
      <c r="L11" s="30"/>
    </row>
    <row r="12" spans="1:13" x14ac:dyDescent="0.2">
      <c r="B12">
        <f>B11+1</f>
        <v>2</v>
      </c>
      <c r="C12" s="36">
        <f>MAX(0,Table!I9-75)</f>
        <v>0</v>
      </c>
      <c r="E12" s="30"/>
      <c r="L12" s="30"/>
    </row>
    <row r="13" spans="1:13" x14ac:dyDescent="0.2">
      <c r="B13">
        <f t="shared" ref="B13:B34" si="0">B12+1</f>
        <v>3</v>
      </c>
      <c r="C13" s="36">
        <f>MAX(0,Table!I10-75)</f>
        <v>0</v>
      </c>
      <c r="E13" s="30"/>
      <c r="L13" s="30"/>
    </row>
    <row r="14" spans="1:13" x14ac:dyDescent="0.2">
      <c r="B14">
        <f t="shared" si="0"/>
        <v>4</v>
      </c>
      <c r="C14" s="36">
        <f>MAX(0,Table!I11-75)</f>
        <v>0</v>
      </c>
      <c r="E14" s="30"/>
      <c r="L14" s="30"/>
    </row>
    <row r="15" spans="1:13" x14ac:dyDescent="0.2">
      <c r="B15">
        <f t="shared" si="0"/>
        <v>5</v>
      </c>
      <c r="C15" s="36">
        <f>MAX(0,Table!I12-75)</f>
        <v>0.33534199999999714</v>
      </c>
      <c r="E15" s="30"/>
      <c r="L15" s="30"/>
    </row>
    <row r="16" spans="1:13" x14ac:dyDescent="0.2">
      <c r="B16">
        <f t="shared" si="0"/>
        <v>6</v>
      </c>
      <c r="C16" s="36">
        <f>MAX(0,Table!I13-75)</f>
        <v>0</v>
      </c>
      <c r="E16" s="30"/>
    </row>
    <row r="17" spans="1:13" x14ac:dyDescent="0.2">
      <c r="B17">
        <f t="shared" si="0"/>
        <v>7</v>
      </c>
      <c r="C17" s="36">
        <f>MAX(0,Table!I14-75)</f>
        <v>0</v>
      </c>
      <c r="E17" s="30"/>
      <c r="K17" s="30"/>
      <c r="M17" s="30"/>
    </row>
    <row r="18" spans="1:13" x14ac:dyDescent="0.2">
      <c r="B18">
        <f t="shared" si="0"/>
        <v>8</v>
      </c>
      <c r="C18" s="36">
        <f>MAX(0,Table!I15-75)</f>
        <v>1.4624629999999996</v>
      </c>
      <c r="E18" s="30"/>
      <c r="K18" s="30"/>
    </row>
    <row r="19" spans="1:13" x14ac:dyDescent="0.2">
      <c r="B19">
        <f t="shared" si="0"/>
        <v>9</v>
      </c>
      <c r="C19" s="36">
        <f>MAX(0,Table!I16-75)</f>
        <v>6.1561580000000049</v>
      </c>
      <c r="E19" s="30"/>
    </row>
    <row r="20" spans="1:13" x14ac:dyDescent="0.2">
      <c r="B20">
        <f t="shared" si="0"/>
        <v>10</v>
      </c>
      <c r="C20" s="36">
        <f>MAX(0,Table!I17-75)</f>
        <v>12.693695000000005</v>
      </c>
      <c r="E20" s="30"/>
    </row>
    <row r="21" spans="1:13" x14ac:dyDescent="0.2">
      <c r="B21">
        <f t="shared" si="0"/>
        <v>11</v>
      </c>
      <c r="C21" s="36">
        <f>MAX(0,Table!I18-75)</f>
        <v>22.283287000000001</v>
      </c>
      <c r="E21" s="30"/>
    </row>
    <row r="22" spans="1:13" x14ac:dyDescent="0.2">
      <c r="B22">
        <f t="shared" si="0"/>
        <v>12</v>
      </c>
      <c r="C22" s="36">
        <f>MAX(0,Table!I19-75)</f>
        <v>23.104111000000003</v>
      </c>
      <c r="E22" s="30"/>
    </row>
    <row r="23" spans="1:13" x14ac:dyDescent="0.2">
      <c r="B23">
        <f t="shared" si="0"/>
        <v>13</v>
      </c>
      <c r="C23" s="36">
        <f>MAX(0,Table!I20-75)</f>
        <v>22.052054999999996</v>
      </c>
    </row>
    <row r="24" spans="1:13" x14ac:dyDescent="0.2">
      <c r="B24">
        <f t="shared" si="0"/>
        <v>14</v>
      </c>
      <c r="C24" s="36">
        <f>MAX(0,Table!I21-75)</f>
        <v>25.641639999999995</v>
      </c>
      <c r="F24" s="5"/>
    </row>
    <row r="25" spans="1:13" x14ac:dyDescent="0.2">
      <c r="B25">
        <f t="shared" si="0"/>
        <v>15</v>
      </c>
      <c r="C25" s="36">
        <f>MAX(0,Table!I22-75)</f>
        <v>26.231229999999996</v>
      </c>
    </row>
    <row r="26" spans="1:13" x14ac:dyDescent="0.2">
      <c r="B26">
        <f t="shared" si="0"/>
        <v>16</v>
      </c>
      <c r="C26" s="36">
        <f>MAX(0,Table!I23-75)</f>
        <v>23.820824000000002</v>
      </c>
    </row>
    <row r="27" spans="1:13" x14ac:dyDescent="0.2">
      <c r="B27">
        <f t="shared" si="0"/>
        <v>17</v>
      </c>
      <c r="C27" s="36">
        <f>MAX(0,Table!I24-75)</f>
        <v>25.231229999999996</v>
      </c>
    </row>
    <row r="28" spans="1:13" x14ac:dyDescent="0.2">
      <c r="A28" s="5"/>
      <c r="B28">
        <f t="shared" si="0"/>
        <v>18</v>
      </c>
      <c r="C28" s="36">
        <f>MAX(0,Table!I25-75)</f>
        <v>23.410408000000004</v>
      </c>
      <c r="D28" s="5"/>
    </row>
    <row r="29" spans="1:13" x14ac:dyDescent="0.2">
      <c r="A29" s="5"/>
      <c r="B29">
        <f t="shared" si="0"/>
        <v>19</v>
      </c>
      <c r="C29" s="36">
        <f>MAX(0,Table!I26-75)</f>
        <v>16.820824000000002</v>
      </c>
      <c r="D29" s="5"/>
    </row>
    <row r="30" spans="1:13" x14ac:dyDescent="0.2">
      <c r="A30" s="5"/>
      <c r="B30">
        <f t="shared" si="0"/>
        <v>20</v>
      </c>
      <c r="C30" s="36">
        <f>MAX(0,Table!I27-75)</f>
        <v>10.462463</v>
      </c>
      <c r="D30" s="5"/>
    </row>
    <row r="31" spans="1:13" x14ac:dyDescent="0.2">
      <c r="B31">
        <f t="shared" si="0"/>
        <v>21</v>
      </c>
      <c r="C31" s="36">
        <f>MAX(0,Table!I28-75)</f>
        <v>10.820824000000002</v>
      </c>
      <c r="D31" s="30"/>
      <c r="G31" s="30"/>
      <c r="H31" s="30"/>
      <c r="I31" s="30"/>
      <c r="J31" s="30"/>
      <c r="K31" s="30"/>
    </row>
    <row r="32" spans="1:13" x14ac:dyDescent="0.2">
      <c r="B32">
        <f t="shared" si="0"/>
        <v>22</v>
      </c>
      <c r="C32" s="36">
        <f>MAX(0,Table!I29-75)</f>
        <v>10.820824000000002</v>
      </c>
      <c r="D32" s="5"/>
      <c r="G32" s="5"/>
      <c r="H32" s="5"/>
      <c r="I32" s="5"/>
      <c r="J32" s="5"/>
      <c r="K32" s="5"/>
    </row>
    <row r="33" spans="2:11" x14ac:dyDescent="0.2">
      <c r="B33">
        <f t="shared" si="0"/>
        <v>23</v>
      </c>
      <c r="C33" s="36">
        <f>MAX(0,Table!I30-75)</f>
        <v>12.537537</v>
      </c>
      <c r="D33" s="5"/>
      <c r="G33" s="5"/>
      <c r="H33" s="5"/>
      <c r="I33" s="5"/>
      <c r="J33" s="5"/>
      <c r="K33" s="5"/>
    </row>
    <row r="34" spans="2:11" x14ac:dyDescent="0.2">
      <c r="B34">
        <f t="shared" si="0"/>
        <v>24</v>
      </c>
      <c r="C34" s="36">
        <f>MAX(0,Table!I31-75)</f>
        <v>11.947945000000004</v>
      </c>
      <c r="D34" s="5"/>
      <c r="G34" s="5"/>
      <c r="H34" s="5"/>
      <c r="I34" s="5"/>
      <c r="J34" s="5"/>
      <c r="K34" s="5"/>
    </row>
    <row r="35" spans="2:11" x14ac:dyDescent="0.2">
      <c r="B35" s="30" t="s">
        <v>189</v>
      </c>
      <c r="D35" s="5"/>
      <c r="E35" s="5"/>
      <c r="F35" s="5"/>
      <c r="G35" s="5"/>
      <c r="H35" s="5"/>
      <c r="I35" s="5"/>
      <c r="J35" s="5"/>
      <c r="K35" s="5"/>
    </row>
    <row r="36" spans="2:11" x14ac:dyDescent="0.2">
      <c r="D36" s="5"/>
      <c r="E36" s="5"/>
      <c r="F36" s="5"/>
      <c r="G36" s="5"/>
      <c r="H36" s="5"/>
      <c r="I36" s="5"/>
      <c r="J36" s="5"/>
      <c r="K36" s="5"/>
    </row>
    <row r="37" spans="2:11" x14ac:dyDescent="0.2">
      <c r="D37" s="5"/>
      <c r="E37" s="5"/>
      <c r="G37" s="5"/>
      <c r="H37" s="5"/>
      <c r="I37" s="5"/>
      <c r="J37" s="5"/>
      <c r="K37" s="5"/>
    </row>
    <row r="38" spans="2:11" x14ac:dyDescent="0.2">
      <c r="D38" s="5"/>
      <c r="E38" s="5"/>
      <c r="F38" s="5"/>
      <c r="G38" s="5"/>
      <c r="H38" s="5"/>
      <c r="I38" s="5"/>
      <c r="J38" s="5"/>
      <c r="K38" s="5"/>
    </row>
    <row r="39" spans="2:11" x14ac:dyDescent="0.2">
      <c r="B39" s="47" t="s">
        <v>193</v>
      </c>
      <c r="C39" t="s">
        <v>194</v>
      </c>
      <c r="D39" t="s">
        <v>2</v>
      </c>
      <c r="E39" s="5" t="s">
        <v>3</v>
      </c>
      <c r="F39" s="5" t="s">
        <v>4</v>
      </c>
      <c r="G39" s="5" t="s">
        <v>5</v>
      </c>
      <c r="H39" s="5" t="s">
        <v>6</v>
      </c>
      <c r="I39" s="5"/>
      <c r="J39" s="5"/>
      <c r="K39" s="5"/>
    </row>
    <row r="40" spans="2:11" x14ac:dyDescent="0.2">
      <c r="B40" s="48">
        <f>IF(Enrolled=0,"n/a",DGET(data,"stderrallday",_xlnm.Criteria))</f>
        <v>3.3562300000000003E-2</v>
      </c>
      <c r="C40" t="s">
        <v>195</v>
      </c>
      <c r="D40" s="36">
        <f>NORMINV(0.1,Table!$H34,Lookups!$B40)</f>
        <v>2.7074620818917223</v>
      </c>
      <c r="E40" s="36">
        <f>NORMINV(0.3,Table!$H34,Lookups!$B40)</f>
        <v>2.7328738126723389</v>
      </c>
      <c r="F40" s="36">
        <f>NORMINV(0.5,Table!$H34,Lookups!$B40)</f>
        <v>2.7504738999999998</v>
      </c>
      <c r="G40" s="36">
        <f>NORMINV(0.7,Table!$H34,Lookups!$B40)</f>
        <v>2.7680739873276607</v>
      </c>
      <c r="H40" s="36">
        <f>NORMINV(0.9,Table!$H34,Lookups!$B40)</f>
        <v>2.7934857181082773</v>
      </c>
      <c r="I40" s="5"/>
      <c r="J40" s="5"/>
      <c r="K40" s="5"/>
    </row>
    <row r="41" spans="2:11" x14ac:dyDescent="0.2">
      <c r="B41" s="48">
        <f>IF(Enrolled=0,"n/a",DGET(data,"stderrevent",_xlnm.Criteria))</f>
        <v>6.2700500000000006E-2</v>
      </c>
      <c r="C41" t="s">
        <v>204</v>
      </c>
      <c r="D41" s="36">
        <f>NORMINV(0.1,Table!$H35,Lookups!$B41)</f>
        <v>0.36238591892171362</v>
      </c>
      <c r="E41" s="36">
        <f>NORMINV(0.3,Table!$H35,Lookups!$B41)</f>
        <v>0.40985966851009231</v>
      </c>
      <c r="F41" s="36">
        <f>NORMINV(0.5,Table!$H35,Lookups!$B41)</f>
        <v>0.44273984285714285</v>
      </c>
      <c r="G41" s="36">
        <f>NORMINV(0.7,Table!$H35,Lookups!$B41)</f>
        <v>0.47562001720419333</v>
      </c>
      <c r="H41" s="36">
        <f>NORMINV(0.9,Table!$H35,Lookups!$B41)</f>
        <v>0.52309376679257213</v>
      </c>
      <c r="I41" s="5"/>
      <c r="J41" s="5"/>
      <c r="K41" s="5"/>
    </row>
    <row r="42" spans="2:11" x14ac:dyDescent="0.2">
      <c r="B42" s="48"/>
      <c r="D42" s="36"/>
      <c r="E42" s="36"/>
      <c r="F42" s="36"/>
      <c r="G42" s="36"/>
      <c r="H42" s="36"/>
      <c r="I42" s="5"/>
      <c r="J42" s="5"/>
      <c r="K42" s="5"/>
    </row>
    <row r="43" spans="2:11" x14ac:dyDescent="0.2">
      <c r="D43" s="5"/>
      <c r="E43" s="5"/>
      <c r="F43" s="5"/>
      <c r="G43" s="5"/>
      <c r="H43" s="5"/>
      <c r="I43" s="5"/>
      <c r="J43" s="5"/>
      <c r="K43" s="5"/>
    </row>
    <row r="44" spans="2:11" x14ac:dyDescent="0.2">
      <c r="D44" s="5"/>
      <c r="E44" s="5"/>
      <c r="F44" s="5"/>
      <c r="G44" s="5"/>
      <c r="H44" s="5"/>
      <c r="I44" s="5"/>
      <c r="J44" s="5"/>
      <c r="K44" s="5"/>
    </row>
    <row r="45" spans="2:11" x14ac:dyDescent="0.2">
      <c r="D45" s="5"/>
      <c r="E45" s="5"/>
      <c r="F45" s="5"/>
      <c r="G45" s="5"/>
      <c r="H45" s="5"/>
      <c r="I45" s="5"/>
      <c r="J45" s="5"/>
      <c r="K45" s="5"/>
    </row>
    <row r="46" spans="2:11" x14ac:dyDescent="0.2">
      <c r="D46" s="5"/>
      <c r="E46" s="5"/>
      <c r="F46" s="5"/>
      <c r="G46" s="5"/>
      <c r="H46" s="5"/>
      <c r="I46" s="5"/>
      <c r="J46" s="5"/>
      <c r="K46" s="5"/>
    </row>
    <row r="47" spans="2:11" x14ac:dyDescent="0.2">
      <c r="D47" s="5"/>
      <c r="E47" s="5"/>
      <c r="F47" s="5"/>
      <c r="G47" s="5"/>
      <c r="H47" s="5"/>
      <c r="I47" s="5"/>
      <c r="J47" s="5"/>
      <c r="K47" s="5"/>
    </row>
    <row r="48" spans="2:11" x14ac:dyDescent="0.2">
      <c r="D48" s="5"/>
      <c r="E48" s="5"/>
      <c r="F48" s="5"/>
      <c r="G48" s="5"/>
      <c r="H48" s="5"/>
      <c r="I48" s="5"/>
      <c r="J48" s="5"/>
      <c r="K48" s="5"/>
    </row>
    <row r="49" spans="4:11" x14ac:dyDescent="0.2">
      <c r="D49" s="5"/>
      <c r="E49" s="5"/>
      <c r="F49" s="5"/>
      <c r="G49" s="5"/>
      <c r="H49" s="5"/>
      <c r="I49" s="5"/>
      <c r="J49" s="5"/>
      <c r="K49" s="5"/>
    </row>
    <row r="50" spans="4:11" x14ac:dyDescent="0.2">
      <c r="D50" s="5"/>
      <c r="E50" s="5"/>
      <c r="F50" s="5"/>
      <c r="G50" s="5"/>
      <c r="H50" s="5"/>
      <c r="I50" s="5"/>
      <c r="J50" s="5"/>
      <c r="K50" s="5"/>
    </row>
    <row r="51" spans="4:11" x14ac:dyDescent="0.2">
      <c r="D51" s="5"/>
      <c r="E51" s="5"/>
      <c r="F51" s="5"/>
      <c r="G51" s="5"/>
      <c r="H51" s="5"/>
      <c r="I51" s="5"/>
      <c r="J51" s="5"/>
      <c r="K51" s="5"/>
    </row>
    <row r="52" spans="4:11" x14ac:dyDescent="0.2">
      <c r="D52" s="5"/>
      <c r="E52" s="5"/>
      <c r="F52" s="5"/>
      <c r="G52" s="5"/>
      <c r="H52" s="5"/>
      <c r="I52" s="5"/>
      <c r="J52" s="5"/>
      <c r="K52" s="5"/>
    </row>
    <row r="53" spans="4:11" x14ac:dyDescent="0.2">
      <c r="D53" s="5"/>
      <c r="E53" s="5"/>
      <c r="F53" s="5"/>
      <c r="G53" s="5"/>
      <c r="H53" s="5"/>
      <c r="I53" s="5"/>
      <c r="J53" s="5"/>
      <c r="K53" s="5"/>
    </row>
    <row r="54" spans="4:11" x14ac:dyDescent="0.2">
      <c r="D54" s="5"/>
      <c r="E54" s="5"/>
      <c r="F54" s="5"/>
      <c r="G54" s="5"/>
      <c r="H54" s="5"/>
      <c r="I54" s="5"/>
      <c r="J54" s="5"/>
      <c r="K54" s="5"/>
    </row>
    <row r="55" spans="4:11" x14ac:dyDescent="0.2">
      <c r="D55" s="5"/>
      <c r="E55" s="5"/>
      <c r="F55" s="5"/>
      <c r="G55" s="5"/>
      <c r="H55" s="5"/>
      <c r="I55" s="5"/>
      <c r="J55" s="5"/>
      <c r="K55" s="5"/>
    </row>
    <row r="56" spans="4:11" x14ac:dyDescent="0.2">
      <c r="G56" s="5"/>
    </row>
    <row r="57" spans="4:11" x14ac:dyDescent="0.2">
      <c r="G57" s="5"/>
      <c r="H57" s="5"/>
    </row>
    <row r="58" spans="4:11" x14ac:dyDescent="0.2">
      <c r="G58" s="5"/>
      <c r="H58" s="5"/>
    </row>
    <row r="59" spans="4:11" x14ac:dyDescent="0.2">
      <c r="G59" s="5"/>
      <c r="H59" s="5"/>
    </row>
    <row r="60" spans="4:11" x14ac:dyDescent="0.2">
      <c r="G60" s="5"/>
      <c r="H60" s="5"/>
    </row>
    <row r="61" spans="4:11" x14ac:dyDescent="0.2">
      <c r="G61" s="5"/>
      <c r="H61" s="5"/>
    </row>
    <row r="62" spans="4:11" x14ac:dyDescent="0.2">
      <c r="G62" s="5"/>
      <c r="H62" s="5"/>
    </row>
    <row r="63" spans="4:11" x14ac:dyDescent="0.2">
      <c r="G63" s="5"/>
      <c r="H63" s="5"/>
    </row>
    <row r="64" spans="4:11" x14ac:dyDescent="0.2">
      <c r="G64" s="5"/>
      <c r="H64" s="5"/>
    </row>
    <row r="65" spans="7:8" x14ac:dyDescent="0.2">
      <c r="G65" s="5"/>
      <c r="H65" s="5"/>
    </row>
    <row r="66" spans="7:8" x14ac:dyDescent="0.2">
      <c r="G66" s="5"/>
      <c r="H66" s="5"/>
    </row>
    <row r="67" spans="7:8" x14ac:dyDescent="0.2">
      <c r="G67" s="5"/>
      <c r="H67" s="5"/>
    </row>
    <row r="68" spans="7:8" x14ac:dyDescent="0.2">
      <c r="G68" s="5"/>
      <c r="H68" s="5"/>
    </row>
    <row r="69" spans="7:8" x14ac:dyDescent="0.2">
      <c r="G69" s="5"/>
      <c r="H69" s="5"/>
    </row>
    <row r="70" spans="7:8" x14ac:dyDescent="0.2">
      <c r="G70" s="5"/>
      <c r="H70" s="5"/>
    </row>
  </sheetData>
  <phoneticPr fontId="2" type="noConversion"/>
  <conditionalFormatting sqref="C5">
    <cfRule type="expression" priority="56">
      <formula>$F$24=1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S7"/>
  <sheetViews>
    <sheetView zoomScaleNormal="100" workbookViewId="0">
      <pane xSplit="5" ySplit="1" topLeftCell="F2" activePane="bottomRight" state="frozen"/>
      <selection sqref="A1:B1"/>
      <selection pane="topRight" sqref="A1:B1"/>
      <selection pane="bottomLeft" sqref="A1:B1"/>
      <selection pane="bottomRight" sqref="A1:B1"/>
    </sheetView>
  </sheetViews>
  <sheetFormatPr defaultRowHeight="12.75" x14ac:dyDescent="0.2"/>
  <cols>
    <col min="1" max="1" width="27.140625" customWidth="1"/>
    <col min="2" max="2" width="14.85546875" customWidth="1"/>
    <col min="3" max="3" width="9.140625" bestFit="1" customWidth="1"/>
    <col min="4" max="4" width="9" bestFit="1" customWidth="1"/>
    <col min="5" max="5" width="9.28515625" customWidth="1"/>
    <col min="6" max="6" width="7.7109375" customWidth="1"/>
    <col min="7" max="30" width="10" customWidth="1"/>
    <col min="31" max="39" width="12.85546875" customWidth="1"/>
    <col min="40" max="54" width="14" customWidth="1"/>
    <col min="55" max="63" width="12.85546875" customWidth="1"/>
    <col min="64" max="78" width="14" customWidth="1"/>
    <col min="79" max="87" width="12.85546875" customWidth="1"/>
    <col min="88" max="102" width="14" customWidth="1"/>
    <col min="103" max="111" width="12.85546875" customWidth="1"/>
    <col min="112" max="126" width="14" customWidth="1"/>
    <col min="127" max="135" width="12.85546875" customWidth="1"/>
    <col min="136" max="150" width="14" customWidth="1"/>
    <col min="151" max="159" width="9" customWidth="1"/>
    <col min="160" max="173" width="9.7109375" customWidth="1"/>
    <col min="174" max="174" width="10" customWidth="1"/>
    <col min="175" max="175" width="10.7109375" customWidth="1"/>
    <col min="176" max="177" width="10.140625" bestFit="1" customWidth="1"/>
  </cols>
  <sheetData>
    <row r="1" spans="1:175" x14ac:dyDescent="0.2">
      <c r="A1" s="49" t="s">
        <v>196</v>
      </c>
      <c r="B1" t="s">
        <v>215</v>
      </c>
      <c r="C1" s="30" t="s">
        <v>207</v>
      </c>
      <c r="D1" t="s">
        <v>208</v>
      </c>
      <c r="E1" s="30" t="s">
        <v>192</v>
      </c>
      <c r="F1" t="s">
        <v>161</v>
      </c>
      <c r="G1" t="s">
        <v>162</v>
      </c>
      <c r="H1" t="s">
        <v>163</v>
      </c>
      <c r="I1" t="s">
        <v>164</v>
      </c>
      <c r="J1" t="s">
        <v>165</v>
      </c>
      <c r="K1" t="s">
        <v>166</v>
      </c>
      <c r="L1" t="s">
        <v>167</v>
      </c>
      <c r="M1" t="s">
        <v>168</v>
      </c>
      <c r="N1" t="s">
        <v>169</v>
      </c>
      <c r="O1" t="s">
        <v>170</v>
      </c>
      <c r="P1" t="s">
        <v>171</v>
      </c>
      <c r="Q1" t="s">
        <v>172</v>
      </c>
      <c r="R1" t="s">
        <v>173</v>
      </c>
      <c r="S1" t="s">
        <v>174</v>
      </c>
      <c r="T1" t="s">
        <v>175</v>
      </c>
      <c r="U1" t="s">
        <v>176</v>
      </c>
      <c r="V1" t="s">
        <v>177</v>
      </c>
      <c r="W1" t="s">
        <v>178</v>
      </c>
      <c r="X1" t="s">
        <v>179</v>
      </c>
      <c r="Y1" t="s">
        <v>180</v>
      </c>
      <c r="Z1" t="s">
        <v>181</v>
      </c>
      <c r="AA1" t="s">
        <v>182</v>
      </c>
      <c r="AB1" t="s">
        <v>183</v>
      </c>
      <c r="AC1" t="s">
        <v>184</v>
      </c>
      <c r="AD1" t="s">
        <v>16</v>
      </c>
      <c r="AE1" t="s">
        <v>17</v>
      </c>
      <c r="AF1" t="s">
        <v>18</v>
      </c>
      <c r="AG1" t="s">
        <v>19</v>
      </c>
      <c r="AH1" t="s">
        <v>20</v>
      </c>
      <c r="AI1" t="s">
        <v>21</v>
      </c>
      <c r="AJ1" t="s">
        <v>22</v>
      </c>
      <c r="AK1" t="s">
        <v>23</v>
      </c>
      <c r="AL1" t="s">
        <v>24</v>
      </c>
      <c r="AM1" t="s">
        <v>25</v>
      </c>
      <c r="AN1" t="s">
        <v>26</v>
      </c>
      <c r="AO1" t="s">
        <v>27</v>
      </c>
      <c r="AP1" t="s">
        <v>28</v>
      </c>
      <c r="AQ1" t="s">
        <v>29</v>
      </c>
      <c r="AR1" t="s">
        <v>30</v>
      </c>
      <c r="AS1" t="s">
        <v>31</v>
      </c>
      <c r="AT1" t="s">
        <v>32</v>
      </c>
      <c r="AU1" t="s">
        <v>33</v>
      </c>
      <c r="AV1" t="s">
        <v>34</v>
      </c>
      <c r="AW1" t="s">
        <v>35</v>
      </c>
      <c r="AX1" t="s">
        <v>36</v>
      </c>
      <c r="AY1" t="s">
        <v>37</v>
      </c>
      <c r="AZ1" t="s">
        <v>38</v>
      </c>
      <c r="BA1" t="s">
        <v>39</v>
      </c>
      <c r="BB1" t="s">
        <v>40</v>
      </c>
      <c r="BC1" t="s">
        <v>41</v>
      </c>
      <c r="BD1" t="s">
        <v>42</v>
      </c>
      <c r="BE1" t="s">
        <v>43</v>
      </c>
      <c r="BF1" t="s">
        <v>44</v>
      </c>
      <c r="BG1" t="s">
        <v>45</v>
      </c>
      <c r="BH1" t="s">
        <v>46</v>
      </c>
      <c r="BI1" t="s">
        <v>47</v>
      </c>
      <c r="BJ1" t="s">
        <v>48</v>
      </c>
      <c r="BK1" t="s">
        <v>49</v>
      </c>
      <c r="BL1" t="s">
        <v>50</v>
      </c>
      <c r="BM1" t="s">
        <v>51</v>
      </c>
      <c r="BN1" t="s">
        <v>52</v>
      </c>
      <c r="BO1" t="s">
        <v>53</v>
      </c>
      <c r="BP1" t="s">
        <v>54</v>
      </c>
      <c r="BQ1" t="s">
        <v>55</v>
      </c>
      <c r="BR1" t="s">
        <v>56</v>
      </c>
      <c r="BS1" t="s">
        <v>57</v>
      </c>
      <c r="BT1" t="s">
        <v>58</v>
      </c>
      <c r="BU1" t="s">
        <v>59</v>
      </c>
      <c r="BV1" t="s">
        <v>60</v>
      </c>
      <c r="BW1" t="s">
        <v>61</v>
      </c>
      <c r="BX1" t="s">
        <v>62</v>
      </c>
      <c r="BY1" t="s">
        <v>63</v>
      </c>
      <c r="BZ1" t="s">
        <v>64</v>
      </c>
      <c r="CA1" t="s">
        <v>65</v>
      </c>
      <c r="CB1" t="s">
        <v>66</v>
      </c>
      <c r="CC1" t="s">
        <v>67</v>
      </c>
      <c r="CD1" t="s">
        <v>68</v>
      </c>
      <c r="CE1" t="s">
        <v>69</v>
      </c>
      <c r="CF1" t="s">
        <v>70</v>
      </c>
      <c r="CG1" t="s">
        <v>71</v>
      </c>
      <c r="CH1" t="s">
        <v>72</v>
      </c>
      <c r="CI1" t="s">
        <v>73</v>
      </c>
      <c r="CJ1" t="s">
        <v>74</v>
      </c>
      <c r="CK1" t="s">
        <v>75</v>
      </c>
      <c r="CL1" t="s">
        <v>76</v>
      </c>
      <c r="CM1" t="s">
        <v>77</v>
      </c>
      <c r="CN1" t="s">
        <v>78</v>
      </c>
      <c r="CO1" t="s">
        <v>79</v>
      </c>
      <c r="CP1" t="s">
        <v>80</v>
      </c>
      <c r="CQ1" t="s">
        <v>81</v>
      </c>
      <c r="CR1" t="s">
        <v>82</v>
      </c>
      <c r="CS1" t="s">
        <v>83</v>
      </c>
      <c r="CT1" t="s">
        <v>84</v>
      </c>
      <c r="CU1" t="s">
        <v>85</v>
      </c>
      <c r="CV1" t="s">
        <v>86</v>
      </c>
      <c r="CW1" t="s">
        <v>87</v>
      </c>
      <c r="CX1" t="s">
        <v>88</v>
      </c>
      <c r="CY1" t="s">
        <v>89</v>
      </c>
      <c r="CZ1" t="s">
        <v>90</v>
      </c>
      <c r="DA1" t="s">
        <v>91</v>
      </c>
      <c r="DB1" t="s">
        <v>92</v>
      </c>
      <c r="DC1" t="s">
        <v>93</v>
      </c>
      <c r="DD1" t="s">
        <v>94</v>
      </c>
      <c r="DE1" t="s">
        <v>95</v>
      </c>
      <c r="DF1" t="s">
        <v>96</v>
      </c>
      <c r="DG1" t="s">
        <v>97</v>
      </c>
      <c r="DH1" t="s">
        <v>98</v>
      </c>
      <c r="DI1" t="s">
        <v>99</v>
      </c>
      <c r="DJ1" t="s">
        <v>100</v>
      </c>
      <c r="DK1" t="s">
        <v>101</v>
      </c>
      <c r="DL1" t="s">
        <v>102</v>
      </c>
      <c r="DM1" t="s">
        <v>103</v>
      </c>
      <c r="DN1" t="s">
        <v>104</v>
      </c>
      <c r="DO1" t="s">
        <v>105</v>
      </c>
      <c r="DP1" t="s">
        <v>106</v>
      </c>
      <c r="DQ1" t="s">
        <v>107</v>
      </c>
      <c r="DR1" t="s">
        <v>108</v>
      </c>
      <c r="DS1" t="s">
        <v>109</v>
      </c>
      <c r="DT1" t="s">
        <v>110</v>
      </c>
      <c r="DU1" t="s">
        <v>111</v>
      </c>
      <c r="DV1" t="s">
        <v>112</v>
      </c>
      <c r="DW1" t="s">
        <v>113</v>
      </c>
      <c r="DX1" t="s">
        <v>114</v>
      </c>
      <c r="DY1" t="s">
        <v>115</v>
      </c>
      <c r="DZ1" t="s">
        <v>116</v>
      </c>
      <c r="EA1" t="s">
        <v>117</v>
      </c>
      <c r="EB1" t="s">
        <v>118</v>
      </c>
      <c r="EC1" t="s">
        <v>119</v>
      </c>
      <c r="ED1" t="s">
        <v>120</v>
      </c>
      <c r="EE1" t="s">
        <v>121</v>
      </c>
      <c r="EF1" t="s">
        <v>122</v>
      </c>
      <c r="EG1" t="s">
        <v>123</v>
      </c>
      <c r="EH1" t="s">
        <v>124</v>
      </c>
      <c r="EI1" t="s">
        <v>125</v>
      </c>
      <c r="EJ1" t="s">
        <v>126</v>
      </c>
      <c r="EK1" t="s">
        <v>127</v>
      </c>
      <c r="EL1" t="s">
        <v>128</v>
      </c>
      <c r="EM1" t="s">
        <v>129</v>
      </c>
      <c r="EN1" t="s">
        <v>130</v>
      </c>
      <c r="EO1" t="s">
        <v>131</v>
      </c>
      <c r="EP1" t="s">
        <v>132</v>
      </c>
      <c r="EQ1" t="s">
        <v>133</v>
      </c>
      <c r="ER1" t="s">
        <v>134</v>
      </c>
      <c r="ES1" t="s">
        <v>135</v>
      </c>
      <c r="ET1" t="s">
        <v>136</v>
      </c>
      <c r="EU1" t="s">
        <v>137</v>
      </c>
      <c r="EV1" t="s">
        <v>138</v>
      </c>
      <c r="EW1" t="s">
        <v>139</v>
      </c>
      <c r="EX1" t="s">
        <v>140</v>
      </c>
      <c r="EY1" t="s">
        <v>141</v>
      </c>
      <c r="EZ1" t="s">
        <v>142</v>
      </c>
      <c r="FA1" t="s">
        <v>143</v>
      </c>
      <c r="FB1" t="s">
        <v>144</v>
      </c>
      <c r="FC1" t="s">
        <v>145</v>
      </c>
      <c r="FD1" t="s">
        <v>146</v>
      </c>
      <c r="FE1" t="s">
        <v>147</v>
      </c>
      <c r="FF1" t="s">
        <v>148</v>
      </c>
      <c r="FG1" t="s">
        <v>149</v>
      </c>
      <c r="FH1" t="s">
        <v>150</v>
      </c>
      <c r="FI1" t="s">
        <v>151</v>
      </c>
      <c r="FJ1" t="s">
        <v>152</v>
      </c>
      <c r="FK1" t="s">
        <v>153</v>
      </c>
      <c r="FL1" t="s">
        <v>154</v>
      </c>
      <c r="FM1" t="s">
        <v>155</v>
      </c>
      <c r="FN1" t="s">
        <v>156</v>
      </c>
      <c r="FO1" t="s">
        <v>157</v>
      </c>
      <c r="FP1" t="s">
        <v>158</v>
      </c>
      <c r="FQ1" t="s">
        <v>159</v>
      </c>
      <c r="FR1" t="s">
        <v>202</v>
      </c>
      <c r="FS1" t="s">
        <v>203</v>
      </c>
    </row>
    <row r="2" spans="1:175" x14ac:dyDescent="0.2">
      <c r="A2" s="30" t="s">
        <v>0</v>
      </c>
      <c r="B2" s="30" t="s">
        <v>214</v>
      </c>
      <c r="C2" s="56">
        <v>42639</v>
      </c>
      <c r="D2" s="30" t="s">
        <v>209</v>
      </c>
      <c r="E2" s="52">
        <v>3063</v>
      </c>
      <c r="F2" s="51">
        <v>2.7301440000000001</v>
      </c>
      <c r="G2" s="51">
        <v>2.437567</v>
      </c>
      <c r="H2" s="51">
        <v>2.2347380000000001</v>
      </c>
      <c r="I2" s="51">
        <v>2.0390320000000002</v>
      </c>
      <c r="J2" s="51">
        <v>1.9770829999999999</v>
      </c>
      <c r="K2" s="51">
        <v>2.0413969999999999</v>
      </c>
      <c r="L2" s="51">
        <v>2.1816930000000001</v>
      </c>
      <c r="M2" s="51">
        <v>2.149305</v>
      </c>
      <c r="N2" s="51">
        <v>2.093073</v>
      </c>
      <c r="O2" s="51">
        <v>2.157308</v>
      </c>
      <c r="P2" s="51">
        <v>2.3265289999999998</v>
      </c>
      <c r="Q2" s="51">
        <v>2.5659420000000002</v>
      </c>
      <c r="R2" s="51">
        <v>2.8387250000000002</v>
      </c>
      <c r="S2" s="51">
        <v>3.057474</v>
      </c>
      <c r="T2" s="51">
        <v>3.4134199999999999</v>
      </c>
      <c r="U2" s="51">
        <v>3.8043719999999999</v>
      </c>
      <c r="V2" s="51">
        <v>4.1962440000000001</v>
      </c>
      <c r="W2" s="51">
        <v>4.7037209999999998</v>
      </c>
      <c r="X2" s="51">
        <v>5.2339409999999997</v>
      </c>
      <c r="Y2" s="51">
        <v>5.6299910000000004</v>
      </c>
      <c r="Z2" s="51">
        <v>5.5667590000000002</v>
      </c>
      <c r="AA2" s="51">
        <v>5.1329859999999998</v>
      </c>
      <c r="AB2" s="51">
        <v>4.554087</v>
      </c>
      <c r="AC2" s="51">
        <v>4.0211040000000002</v>
      </c>
      <c r="AD2" s="51">
        <v>8.1206000000000004E-3</v>
      </c>
      <c r="AE2" s="51">
        <v>3.0325100000000001E-2</v>
      </c>
      <c r="AF2" s="51">
        <v>-6.3083999999999996E-3</v>
      </c>
      <c r="AG2" s="51">
        <v>-4.5251800000000002E-2</v>
      </c>
      <c r="AH2" s="51">
        <v>-4.3263000000000003E-2</v>
      </c>
      <c r="AI2" s="51">
        <v>-1.31907E-2</v>
      </c>
      <c r="AJ2" s="51">
        <v>-7.0816699999999996E-2</v>
      </c>
      <c r="AK2" s="51">
        <v>-0.134821</v>
      </c>
      <c r="AL2" s="51">
        <v>-0.13494719999999999</v>
      </c>
      <c r="AM2" s="51">
        <v>-0.1344513</v>
      </c>
      <c r="AN2" s="51">
        <v>-0.12544939999999999</v>
      </c>
      <c r="AO2" s="51">
        <v>8.3569400000000002E-2</v>
      </c>
      <c r="AP2" s="51">
        <v>0.23561090000000001</v>
      </c>
      <c r="AQ2" s="51">
        <v>0.229825</v>
      </c>
      <c r="AR2" s="51">
        <v>0.30593530000000002</v>
      </c>
      <c r="AS2" s="51">
        <v>0.44540760000000001</v>
      </c>
      <c r="AT2" s="51">
        <v>0.51908330000000003</v>
      </c>
      <c r="AU2" s="51">
        <v>0.56148790000000004</v>
      </c>
      <c r="AV2" s="51">
        <v>0.17154759999999999</v>
      </c>
      <c r="AW2" s="51">
        <v>-0.1223129</v>
      </c>
      <c r="AX2" s="51">
        <v>-0.20139770000000001</v>
      </c>
      <c r="AY2" s="51">
        <v>-0.2721768</v>
      </c>
      <c r="AZ2" s="51">
        <v>-0.28542800000000002</v>
      </c>
      <c r="BA2" s="51">
        <v>-0.22704089999999999</v>
      </c>
      <c r="BB2" s="51">
        <v>4.62703E-2</v>
      </c>
      <c r="BC2" s="51">
        <v>6.4335900000000001E-2</v>
      </c>
      <c r="BD2" s="51">
        <v>2.7912099999999999E-2</v>
      </c>
      <c r="BE2" s="51">
        <v>-1.7119499999999999E-2</v>
      </c>
      <c r="BF2" s="51">
        <v>-1.5761399999999998E-2</v>
      </c>
      <c r="BG2" s="51">
        <v>1.28562E-2</v>
      </c>
      <c r="BH2" s="51">
        <v>-4.3659000000000003E-2</v>
      </c>
      <c r="BI2" s="51">
        <v>-0.1063692</v>
      </c>
      <c r="BJ2" s="51">
        <v>-0.103806</v>
      </c>
      <c r="BK2" s="51">
        <v>-9.8625400000000002E-2</v>
      </c>
      <c r="BL2" s="51">
        <v>-8.3379999999999996E-2</v>
      </c>
      <c r="BM2" s="51">
        <v>0.13062260000000001</v>
      </c>
      <c r="BN2" s="51">
        <v>0.2876978</v>
      </c>
      <c r="BO2" s="51">
        <v>0.2883426</v>
      </c>
      <c r="BP2" s="51">
        <v>0.36835220000000002</v>
      </c>
      <c r="BQ2" s="51">
        <v>0.50964640000000005</v>
      </c>
      <c r="BR2" s="51">
        <v>0.5874123</v>
      </c>
      <c r="BS2" s="51">
        <v>0.63319899999999996</v>
      </c>
      <c r="BT2" s="51">
        <v>0.24422150000000001</v>
      </c>
      <c r="BU2" s="51">
        <v>-4.8957899999999999E-2</v>
      </c>
      <c r="BV2" s="51">
        <v>-0.13201180000000001</v>
      </c>
      <c r="BW2" s="51">
        <v>-0.20780850000000001</v>
      </c>
      <c r="BX2" s="51">
        <v>-0.2269851</v>
      </c>
      <c r="BY2" s="51">
        <v>-0.1746451</v>
      </c>
      <c r="BZ2" s="51">
        <v>7.2692599999999996E-2</v>
      </c>
      <c r="CA2" s="51">
        <v>8.7891700000000003E-2</v>
      </c>
      <c r="CB2" s="51">
        <v>5.1613100000000002E-2</v>
      </c>
      <c r="CC2" s="51">
        <v>2.3647999999999998E-3</v>
      </c>
      <c r="CD2" s="51">
        <v>3.2862E-3</v>
      </c>
      <c r="CE2" s="51">
        <v>3.0896300000000002E-2</v>
      </c>
      <c r="CF2" s="51">
        <v>-2.4849699999999999E-2</v>
      </c>
      <c r="CG2" s="51">
        <v>-8.6663500000000004E-2</v>
      </c>
      <c r="CH2" s="51">
        <v>-8.2237699999999997E-2</v>
      </c>
      <c r="CI2" s="51">
        <v>-7.3812500000000003E-2</v>
      </c>
      <c r="CJ2" s="51">
        <v>-5.4242899999999997E-2</v>
      </c>
      <c r="CK2" s="51">
        <v>0.16321150000000001</v>
      </c>
      <c r="CL2" s="51">
        <v>0.32377309999999998</v>
      </c>
      <c r="CM2" s="51">
        <v>0.32887179999999999</v>
      </c>
      <c r="CN2" s="51">
        <v>0.411582</v>
      </c>
      <c r="CO2" s="51">
        <v>0.55413789999999996</v>
      </c>
      <c r="CP2" s="51">
        <v>0.63473670000000004</v>
      </c>
      <c r="CQ2" s="51">
        <v>0.68286590000000003</v>
      </c>
      <c r="CR2" s="51">
        <v>0.29455520000000002</v>
      </c>
      <c r="CS2" s="51">
        <v>1.8475E-3</v>
      </c>
      <c r="CT2" s="51">
        <v>-8.3955199999999994E-2</v>
      </c>
      <c r="CU2" s="51">
        <v>-0.16322729999999999</v>
      </c>
      <c r="CV2" s="51">
        <v>-0.1865077</v>
      </c>
      <c r="CW2" s="51">
        <v>-0.1383559</v>
      </c>
      <c r="CX2" s="51">
        <v>9.9114900000000006E-2</v>
      </c>
      <c r="CY2" s="51">
        <v>0.1114474</v>
      </c>
      <c r="CZ2" s="51">
        <v>7.5314099999999995E-2</v>
      </c>
      <c r="DA2" s="51">
        <v>2.18491E-2</v>
      </c>
      <c r="DB2" s="51">
        <v>2.2333700000000001E-2</v>
      </c>
      <c r="DC2" s="51">
        <v>4.8936300000000002E-2</v>
      </c>
      <c r="DD2" s="51">
        <v>-6.0403000000000002E-3</v>
      </c>
      <c r="DE2" s="51">
        <v>-6.6957799999999998E-2</v>
      </c>
      <c r="DF2" s="51">
        <v>-6.0669399999999998E-2</v>
      </c>
      <c r="DG2" s="51">
        <v>-4.8999599999999997E-2</v>
      </c>
      <c r="DH2" s="51">
        <v>-2.51059E-2</v>
      </c>
      <c r="DI2" s="51">
        <v>0.19580040000000001</v>
      </c>
      <c r="DJ2" s="51">
        <v>0.35984830000000001</v>
      </c>
      <c r="DK2" s="51">
        <v>0.36940089999999998</v>
      </c>
      <c r="DL2" s="51">
        <v>0.45481179999999999</v>
      </c>
      <c r="DM2" s="51">
        <v>0.59862939999999998</v>
      </c>
      <c r="DN2" s="51">
        <v>0.68206109999999998</v>
      </c>
      <c r="DO2" s="51">
        <v>0.73253290000000004</v>
      </c>
      <c r="DP2" s="51">
        <v>0.344889</v>
      </c>
      <c r="DQ2" s="51">
        <v>5.2652999999999998E-2</v>
      </c>
      <c r="DR2" s="51">
        <v>-3.5898699999999999E-2</v>
      </c>
      <c r="DS2" s="51">
        <v>-0.118646</v>
      </c>
      <c r="DT2" s="51">
        <v>-0.1460303</v>
      </c>
      <c r="DU2" s="51">
        <v>-0.1020667</v>
      </c>
      <c r="DV2" s="51">
        <v>0.13726459999999999</v>
      </c>
      <c r="DW2" s="51">
        <v>0.14545820000000001</v>
      </c>
      <c r="DX2" s="51">
        <v>0.1095347</v>
      </c>
      <c r="DY2" s="51">
        <v>4.9981400000000002E-2</v>
      </c>
      <c r="DZ2" s="51">
        <v>4.9835299999999999E-2</v>
      </c>
      <c r="EA2" s="51">
        <v>7.49832E-2</v>
      </c>
      <c r="EB2" s="51">
        <v>2.1117400000000001E-2</v>
      </c>
      <c r="EC2" s="51">
        <v>-3.8505900000000003E-2</v>
      </c>
      <c r="ED2" s="51">
        <v>-2.9528200000000001E-2</v>
      </c>
      <c r="EE2" s="51">
        <v>-1.3173799999999999E-2</v>
      </c>
      <c r="EF2" s="51">
        <v>1.6963499999999999E-2</v>
      </c>
      <c r="EG2" s="51">
        <v>0.2428536</v>
      </c>
      <c r="EH2" s="51">
        <v>0.4119352</v>
      </c>
      <c r="EI2" s="51">
        <v>0.42791859999999998</v>
      </c>
      <c r="EJ2" s="51">
        <v>0.51722869999999999</v>
      </c>
      <c r="EK2" s="51">
        <v>0.66286820000000002</v>
      </c>
      <c r="EL2" s="51">
        <v>0.75039009999999995</v>
      </c>
      <c r="EM2" s="51">
        <v>0.80424399999999996</v>
      </c>
      <c r="EN2" s="51">
        <v>0.41756290000000001</v>
      </c>
      <c r="EO2" s="51">
        <v>0.12600800000000001</v>
      </c>
      <c r="EP2" s="51">
        <v>3.3487200000000002E-2</v>
      </c>
      <c r="EQ2" s="51">
        <v>-5.4277800000000001E-2</v>
      </c>
      <c r="ER2" s="51">
        <v>-8.7587399999999996E-2</v>
      </c>
      <c r="ES2" s="51">
        <v>-4.9670899999999997E-2</v>
      </c>
      <c r="ET2" s="51">
        <v>73.358360000000005</v>
      </c>
      <c r="EU2" s="51">
        <v>74.231232000000006</v>
      </c>
      <c r="EV2" s="51">
        <v>74.872878999999998</v>
      </c>
      <c r="EW2" s="51">
        <v>72.052054999999996</v>
      </c>
      <c r="EX2" s="51">
        <v>75.335341999999997</v>
      </c>
      <c r="EY2" s="51">
        <v>73.283287000000001</v>
      </c>
      <c r="EZ2" s="51">
        <v>73.820824000000002</v>
      </c>
      <c r="FA2" s="51">
        <v>76.462463</v>
      </c>
      <c r="FB2" s="51">
        <v>81.156158000000005</v>
      </c>
      <c r="FC2" s="51">
        <v>87.693695000000005</v>
      </c>
      <c r="FD2" s="51">
        <v>97.283287000000001</v>
      </c>
      <c r="FE2" s="51">
        <v>98.104111000000003</v>
      </c>
      <c r="FF2" s="51">
        <v>97.052054999999996</v>
      </c>
      <c r="FG2" s="51">
        <v>100.64164</v>
      </c>
      <c r="FH2" s="51">
        <v>101.23123</v>
      </c>
      <c r="FI2" s="51">
        <v>98.820824000000002</v>
      </c>
      <c r="FJ2" s="51">
        <v>100.23123</v>
      </c>
      <c r="FK2" s="51">
        <v>98.410408000000004</v>
      </c>
      <c r="FL2" s="51">
        <v>91.820824000000002</v>
      </c>
      <c r="FM2" s="51">
        <v>85.462463</v>
      </c>
      <c r="FN2" s="51">
        <v>85.820824000000002</v>
      </c>
      <c r="FO2" s="51">
        <v>85.820824000000002</v>
      </c>
      <c r="FP2" s="51">
        <v>87.537537</v>
      </c>
      <c r="FQ2" s="51">
        <v>86.947945000000004</v>
      </c>
      <c r="FR2">
        <v>3.3562300000000003E-2</v>
      </c>
      <c r="FS2">
        <v>6.2700500000000006E-2</v>
      </c>
    </row>
    <row r="3" spans="1:175" x14ac:dyDescent="0.2">
      <c r="A3" t="s">
        <v>0</v>
      </c>
      <c r="B3" t="s">
        <v>214</v>
      </c>
      <c r="C3" s="58">
        <v>42639</v>
      </c>
      <c r="D3" s="30" t="s">
        <v>210</v>
      </c>
      <c r="E3" s="52">
        <v>1773</v>
      </c>
      <c r="F3" s="51">
        <v>1.5240130000000001</v>
      </c>
      <c r="G3" s="51">
        <v>1.3514429999999999</v>
      </c>
      <c r="H3" s="51">
        <v>1.252346</v>
      </c>
      <c r="I3" s="51">
        <v>1.155877</v>
      </c>
      <c r="J3" s="51">
        <v>1.114482</v>
      </c>
      <c r="K3" s="51">
        <v>1.1052500000000001</v>
      </c>
      <c r="L3" s="51">
        <v>1.17825</v>
      </c>
      <c r="M3" s="51">
        <v>1.198137</v>
      </c>
      <c r="N3" s="51">
        <v>1.161278</v>
      </c>
      <c r="O3" s="51">
        <v>1.1911670000000001</v>
      </c>
      <c r="P3" s="51">
        <v>1.2876609999999999</v>
      </c>
      <c r="Q3" s="51">
        <v>1.4226829999999999</v>
      </c>
      <c r="R3" s="51">
        <v>1.577644</v>
      </c>
      <c r="S3" s="51">
        <v>1.688771</v>
      </c>
      <c r="T3" s="51">
        <v>1.8514619999999999</v>
      </c>
      <c r="U3" s="51">
        <v>2.0411920000000001</v>
      </c>
      <c r="V3" s="51">
        <v>2.2566809999999999</v>
      </c>
      <c r="W3" s="51">
        <v>2.5219480000000001</v>
      </c>
      <c r="X3" s="51">
        <v>2.8202509999999998</v>
      </c>
      <c r="Y3" s="51">
        <v>3.0507490000000002</v>
      </c>
      <c r="Z3" s="51">
        <v>3.0067059999999999</v>
      </c>
      <c r="AA3" s="51">
        <v>2.7411989999999999</v>
      </c>
      <c r="AB3" s="51">
        <v>2.4472480000000001</v>
      </c>
      <c r="AC3" s="51">
        <v>2.169495</v>
      </c>
      <c r="AD3" s="51">
        <v>-2.3833000000000001E-3</v>
      </c>
      <c r="AE3" s="51">
        <v>-5.5909000000000002E-3</v>
      </c>
      <c r="AF3" s="51">
        <v>-7.2144000000000002E-3</v>
      </c>
      <c r="AG3" s="51">
        <v>-1.5982099999999999E-2</v>
      </c>
      <c r="AH3" s="51">
        <v>-1.0149E-3</v>
      </c>
      <c r="AI3" s="51">
        <v>-4.4000000000000002E-4</v>
      </c>
      <c r="AJ3" s="51">
        <v>-3.3616899999999998E-2</v>
      </c>
      <c r="AK3" s="51">
        <v>-4.93981E-2</v>
      </c>
      <c r="AL3" s="51">
        <v>-6.2823799999999999E-2</v>
      </c>
      <c r="AM3" s="51">
        <v>-6.8318100000000007E-2</v>
      </c>
      <c r="AN3" s="51">
        <v>-3.0672999999999999E-2</v>
      </c>
      <c r="AO3" s="51">
        <v>9.4024999999999997E-2</v>
      </c>
      <c r="AP3" s="51">
        <v>0.16805709999999999</v>
      </c>
      <c r="AQ3" s="51">
        <v>0.15881419999999999</v>
      </c>
      <c r="AR3" s="51">
        <v>0.2129683</v>
      </c>
      <c r="AS3" s="51">
        <v>0.29507670000000003</v>
      </c>
      <c r="AT3" s="51">
        <v>0.36705290000000002</v>
      </c>
      <c r="AU3" s="51">
        <v>0.3166292</v>
      </c>
      <c r="AV3" s="51">
        <v>0.12219960000000001</v>
      </c>
      <c r="AW3" s="51">
        <v>-1.2202299999999999E-2</v>
      </c>
      <c r="AX3" s="51">
        <v>-9.0338000000000002E-2</v>
      </c>
      <c r="AY3" s="51">
        <v>-0.188059</v>
      </c>
      <c r="AZ3" s="51">
        <v>-0.20472950000000001</v>
      </c>
      <c r="BA3" s="51">
        <v>-0.16732900000000001</v>
      </c>
      <c r="BB3" s="51">
        <v>2.5479600000000002E-2</v>
      </c>
      <c r="BC3" s="51">
        <v>1.9380700000000001E-2</v>
      </c>
      <c r="BD3" s="51">
        <v>1.9002000000000002E-2</v>
      </c>
      <c r="BE3" s="51">
        <v>6.4066000000000001E-3</v>
      </c>
      <c r="BF3" s="51">
        <v>2.0345700000000001E-2</v>
      </c>
      <c r="BG3" s="51">
        <v>1.8404899999999998E-2</v>
      </c>
      <c r="BH3" s="51">
        <v>-1.4518E-2</v>
      </c>
      <c r="BI3" s="51">
        <v>-2.8801799999999999E-2</v>
      </c>
      <c r="BJ3" s="51">
        <v>-3.9928100000000001E-2</v>
      </c>
      <c r="BK3" s="51">
        <v>-4.3596200000000002E-2</v>
      </c>
      <c r="BL3" s="51">
        <v>-8.497E-4</v>
      </c>
      <c r="BM3" s="51">
        <v>0.1279411</v>
      </c>
      <c r="BN3" s="51">
        <v>0.20491709999999999</v>
      </c>
      <c r="BO3" s="51">
        <v>0.2001426</v>
      </c>
      <c r="BP3" s="51">
        <v>0.25703090000000001</v>
      </c>
      <c r="BQ3" s="51">
        <v>0.34122819999999998</v>
      </c>
      <c r="BR3" s="51">
        <v>0.41504210000000002</v>
      </c>
      <c r="BS3" s="51">
        <v>0.3689287</v>
      </c>
      <c r="BT3" s="51">
        <v>0.17610880000000001</v>
      </c>
      <c r="BU3" s="51">
        <v>4.2372E-2</v>
      </c>
      <c r="BV3" s="51">
        <v>-3.8207400000000002E-2</v>
      </c>
      <c r="BW3" s="51">
        <v>-0.14058419999999999</v>
      </c>
      <c r="BX3" s="51">
        <v>-0.1615142</v>
      </c>
      <c r="BY3" s="51">
        <v>-0.12937080000000001</v>
      </c>
      <c r="BZ3" s="51">
        <v>4.4777400000000002E-2</v>
      </c>
      <c r="CA3" s="51">
        <v>3.6676E-2</v>
      </c>
      <c r="CB3" s="51">
        <v>3.7159400000000002E-2</v>
      </c>
      <c r="CC3" s="51">
        <v>2.1912999999999998E-2</v>
      </c>
      <c r="CD3" s="51">
        <v>3.5139999999999998E-2</v>
      </c>
      <c r="CE3" s="51">
        <v>3.1456699999999997E-2</v>
      </c>
      <c r="CF3" s="51">
        <v>-1.2902E-3</v>
      </c>
      <c r="CG3" s="51">
        <v>-1.4536800000000001E-2</v>
      </c>
      <c r="CH3" s="51">
        <v>-2.4070600000000001E-2</v>
      </c>
      <c r="CI3" s="51">
        <v>-2.6474000000000001E-2</v>
      </c>
      <c r="CJ3" s="51">
        <v>1.9805799999999998E-2</v>
      </c>
      <c r="CK3" s="51">
        <v>0.15143119999999999</v>
      </c>
      <c r="CL3" s="51">
        <v>0.23044619999999999</v>
      </c>
      <c r="CM3" s="51">
        <v>0.22876650000000001</v>
      </c>
      <c r="CN3" s="51">
        <v>0.28754859999999999</v>
      </c>
      <c r="CO3" s="51">
        <v>0.37319249999999998</v>
      </c>
      <c r="CP3" s="51">
        <v>0.44827929999999999</v>
      </c>
      <c r="CQ3" s="51">
        <v>0.40515109999999999</v>
      </c>
      <c r="CR3" s="51">
        <v>0.2134462</v>
      </c>
      <c r="CS3" s="51">
        <v>8.0170099999999994E-2</v>
      </c>
      <c r="CT3" s="51">
        <v>-2.1018999999999999E-3</v>
      </c>
      <c r="CU3" s="51">
        <v>-0.1077033</v>
      </c>
      <c r="CV3" s="51">
        <v>-0.13158339999999999</v>
      </c>
      <c r="CW3" s="51">
        <v>-0.10308109999999999</v>
      </c>
      <c r="CX3" s="51">
        <v>6.4075199999999999E-2</v>
      </c>
      <c r="CY3" s="51">
        <v>5.39713E-2</v>
      </c>
      <c r="CZ3" s="51">
        <v>5.5316799999999999E-2</v>
      </c>
      <c r="DA3" s="51">
        <v>3.7419399999999998E-2</v>
      </c>
      <c r="DB3" s="51">
        <v>4.9934300000000001E-2</v>
      </c>
      <c r="DC3" s="51">
        <v>4.4508600000000002E-2</v>
      </c>
      <c r="DD3" s="51">
        <v>1.19376E-2</v>
      </c>
      <c r="DE3" s="51">
        <v>-2.719E-4</v>
      </c>
      <c r="DF3" s="51">
        <v>-8.2130999999999992E-3</v>
      </c>
      <c r="DG3" s="51">
        <v>-9.3516999999999992E-3</v>
      </c>
      <c r="DH3" s="51">
        <v>4.0461400000000002E-2</v>
      </c>
      <c r="DI3" s="51">
        <v>0.1749213</v>
      </c>
      <c r="DJ3" s="51">
        <v>0.25597530000000002</v>
      </c>
      <c r="DK3" s="51">
        <v>0.25739050000000002</v>
      </c>
      <c r="DL3" s="51">
        <v>0.31806620000000002</v>
      </c>
      <c r="DM3" s="51">
        <v>0.40515689999999999</v>
      </c>
      <c r="DN3" s="51">
        <v>0.48151650000000001</v>
      </c>
      <c r="DO3" s="51">
        <v>0.44137359999999998</v>
      </c>
      <c r="DP3" s="51">
        <v>0.25078349999999999</v>
      </c>
      <c r="DQ3" s="51">
        <v>0.11796810000000001</v>
      </c>
      <c r="DR3" s="51">
        <v>3.4003600000000002E-2</v>
      </c>
      <c r="DS3" s="51">
        <v>-7.48225E-2</v>
      </c>
      <c r="DT3" s="51">
        <v>-0.1016526</v>
      </c>
      <c r="DU3" s="51">
        <v>-7.6791399999999996E-2</v>
      </c>
      <c r="DV3" s="51">
        <v>9.1938099999999995E-2</v>
      </c>
      <c r="DW3" s="51">
        <v>7.8942899999999996E-2</v>
      </c>
      <c r="DX3" s="51">
        <v>8.15332E-2</v>
      </c>
      <c r="DY3" s="51">
        <v>5.9808199999999999E-2</v>
      </c>
      <c r="DZ3" s="51">
        <v>7.1294899999999994E-2</v>
      </c>
      <c r="EA3" s="51">
        <v>6.3353499999999993E-2</v>
      </c>
      <c r="EB3" s="51">
        <v>3.1036399999999999E-2</v>
      </c>
      <c r="EC3" s="51">
        <v>2.0324499999999999E-2</v>
      </c>
      <c r="ED3" s="51">
        <v>1.4682600000000001E-2</v>
      </c>
      <c r="EE3" s="51">
        <v>1.5370099999999999E-2</v>
      </c>
      <c r="EF3" s="51">
        <v>7.0284700000000006E-2</v>
      </c>
      <c r="EG3" s="51">
        <v>0.2088373</v>
      </c>
      <c r="EH3" s="51">
        <v>0.29283530000000002</v>
      </c>
      <c r="EI3" s="51">
        <v>0.29871890000000001</v>
      </c>
      <c r="EJ3" s="51">
        <v>0.36212889999999998</v>
      </c>
      <c r="EK3" s="51">
        <v>0.4513084</v>
      </c>
      <c r="EL3" s="51">
        <v>0.52950560000000002</v>
      </c>
      <c r="EM3" s="51">
        <v>0.49367309999999998</v>
      </c>
      <c r="EN3" s="51">
        <v>0.30469269999999998</v>
      </c>
      <c r="EO3" s="51">
        <v>0.17254249999999999</v>
      </c>
      <c r="EP3" s="51">
        <v>8.6134100000000005E-2</v>
      </c>
      <c r="EQ3" s="51">
        <v>-2.7347699999999999E-2</v>
      </c>
      <c r="ER3" s="51">
        <v>-5.8437299999999998E-2</v>
      </c>
      <c r="ES3" s="51">
        <v>-3.8833199999999998E-2</v>
      </c>
      <c r="ET3" s="51">
        <v>75</v>
      </c>
      <c r="EU3" s="51">
        <v>73</v>
      </c>
      <c r="EV3" s="51">
        <v>72</v>
      </c>
      <c r="EW3" s="51">
        <v>70</v>
      </c>
      <c r="EX3" s="51">
        <v>70</v>
      </c>
      <c r="EY3" s="51">
        <v>70</v>
      </c>
      <c r="EZ3" s="51">
        <v>73</v>
      </c>
      <c r="FA3" s="51">
        <v>74</v>
      </c>
      <c r="FB3" s="51">
        <v>75</v>
      </c>
      <c r="FC3" s="51">
        <v>84</v>
      </c>
      <c r="FD3" s="51">
        <v>94</v>
      </c>
      <c r="FE3" s="51">
        <v>94</v>
      </c>
      <c r="FF3" s="51">
        <v>95</v>
      </c>
      <c r="FG3" s="51">
        <v>99</v>
      </c>
      <c r="FH3" s="51">
        <v>100</v>
      </c>
      <c r="FI3" s="51">
        <v>98</v>
      </c>
      <c r="FJ3" s="51">
        <v>99</v>
      </c>
      <c r="FK3" s="51">
        <v>98</v>
      </c>
      <c r="FL3" s="51">
        <v>91</v>
      </c>
      <c r="FM3" s="51">
        <v>83</v>
      </c>
      <c r="FN3" s="51">
        <v>85</v>
      </c>
      <c r="FO3" s="51">
        <v>85</v>
      </c>
      <c r="FP3" s="51">
        <v>90</v>
      </c>
      <c r="FQ3" s="51">
        <v>89</v>
      </c>
      <c r="FR3">
        <v>2.5118499999999998E-2</v>
      </c>
      <c r="FS3">
        <v>4.5011299999999997E-2</v>
      </c>
    </row>
    <row r="4" spans="1:175" x14ac:dyDescent="0.2">
      <c r="A4" t="s">
        <v>0</v>
      </c>
      <c r="B4" t="s">
        <v>214</v>
      </c>
      <c r="C4" s="56">
        <v>42639</v>
      </c>
      <c r="D4" s="30" t="s">
        <v>211</v>
      </c>
      <c r="E4" s="52">
        <v>1290</v>
      </c>
      <c r="F4" s="51">
        <v>1.2121900000000001</v>
      </c>
      <c r="G4" s="51">
        <v>1.0915239999999999</v>
      </c>
      <c r="H4" s="51">
        <v>0.98538199999999998</v>
      </c>
      <c r="I4" s="51">
        <v>0.88460050000000001</v>
      </c>
      <c r="J4" s="51">
        <v>0.86336809999999997</v>
      </c>
      <c r="K4" s="51">
        <v>0.93900640000000002</v>
      </c>
      <c r="L4" s="51">
        <v>1.006599</v>
      </c>
      <c r="M4" s="51">
        <v>0.95233480000000004</v>
      </c>
      <c r="N4" s="51">
        <v>0.93388470000000001</v>
      </c>
      <c r="O4" s="51">
        <v>0.96965500000000004</v>
      </c>
      <c r="P4" s="51">
        <v>1.041968</v>
      </c>
      <c r="Q4" s="51">
        <v>1.1491910000000001</v>
      </c>
      <c r="R4" s="51">
        <v>1.270216</v>
      </c>
      <c r="S4" s="51">
        <v>1.382479</v>
      </c>
      <c r="T4" s="51">
        <v>1.5783240000000001</v>
      </c>
      <c r="U4" s="51">
        <v>1.7791049999999999</v>
      </c>
      <c r="V4" s="51">
        <v>1.9544459999999999</v>
      </c>
      <c r="W4" s="51">
        <v>2.201994</v>
      </c>
      <c r="X4" s="51">
        <v>2.431222</v>
      </c>
      <c r="Y4" s="51">
        <v>2.5939809999999999</v>
      </c>
      <c r="Z4" s="51">
        <v>2.5752299999999999</v>
      </c>
      <c r="AA4" s="51">
        <v>2.4065080000000001</v>
      </c>
      <c r="AB4" s="51">
        <v>2.1176200000000001</v>
      </c>
      <c r="AC4" s="51">
        <v>1.8595200000000001</v>
      </c>
      <c r="AD4" s="51">
        <v>-1.31427E-2</v>
      </c>
      <c r="AE4" s="51">
        <v>1.5307299999999999E-2</v>
      </c>
      <c r="AF4" s="51">
        <v>-2.17358E-2</v>
      </c>
      <c r="AG4" s="51">
        <v>-4.8619700000000002E-2</v>
      </c>
      <c r="AH4" s="51">
        <v>-6.3281699999999996E-2</v>
      </c>
      <c r="AI4" s="51">
        <v>-3.2631100000000003E-2</v>
      </c>
      <c r="AJ4" s="51">
        <v>-5.8037699999999998E-2</v>
      </c>
      <c r="AK4" s="51">
        <v>-0.1082173</v>
      </c>
      <c r="AL4" s="51">
        <v>-9.5378199999999996E-2</v>
      </c>
      <c r="AM4" s="51">
        <v>-9.1811599999999993E-2</v>
      </c>
      <c r="AN4" s="51">
        <v>-0.12687399999999999</v>
      </c>
      <c r="AO4" s="51">
        <v>-4.3321199999999997E-2</v>
      </c>
      <c r="AP4" s="51">
        <v>3.4898199999999997E-2</v>
      </c>
      <c r="AQ4" s="51">
        <v>3.8282799999999999E-2</v>
      </c>
      <c r="AR4" s="51">
        <v>5.7641900000000003E-2</v>
      </c>
      <c r="AS4" s="51">
        <v>0.1112707</v>
      </c>
      <c r="AT4" s="51">
        <v>0.10705629999999999</v>
      </c>
      <c r="AU4" s="51">
        <v>0.20564299999999999</v>
      </c>
      <c r="AV4" s="51">
        <v>4.9689000000000001E-3</v>
      </c>
      <c r="AW4" s="51">
        <v>-0.15955449999999999</v>
      </c>
      <c r="AX4" s="51">
        <v>-0.15588879999999999</v>
      </c>
      <c r="AY4" s="51">
        <v>-0.12444959999999999</v>
      </c>
      <c r="AZ4" s="51">
        <v>-0.11854820000000001</v>
      </c>
      <c r="BA4" s="51">
        <v>-9.5245999999999997E-2</v>
      </c>
      <c r="BB4" s="51">
        <v>1.3117800000000001E-2</v>
      </c>
      <c r="BC4" s="51">
        <v>3.8501300000000002E-2</v>
      </c>
      <c r="BD4" s="51">
        <v>1.155E-4</v>
      </c>
      <c r="BE4" s="51">
        <v>-3.1791199999999999E-2</v>
      </c>
      <c r="BF4" s="51">
        <v>-4.5948999999999997E-2</v>
      </c>
      <c r="BG4" s="51">
        <v>-1.4397999999999999E-2</v>
      </c>
      <c r="BH4" s="51">
        <v>-3.8413900000000001E-2</v>
      </c>
      <c r="BI4" s="51">
        <v>-8.8386099999999995E-2</v>
      </c>
      <c r="BJ4" s="51">
        <v>-7.4131000000000002E-2</v>
      </c>
      <c r="BK4" s="51">
        <v>-6.5433000000000005E-2</v>
      </c>
      <c r="BL4" s="51">
        <v>-9.6779400000000002E-2</v>
      </c>
      <c r="BM4" s="51">
        <v>-1.04571E-2</v>
      </c>
      <c r="BN4" s="51">
        <v>7.1914400000000003E-2</v>
      </c>
      <c r="BO4" s="51">
        <v>7.9755400000000004E-2</v>
      </c>
      <c r="BP4" s="51">
        <v>0.1018951</v>
      </c>
      <c r="BQ4" s="51">
        <v>0.15614130000000001</v>
      </c>
      <c r="BR4" s="51">
        <v>0.15599460000000001</v>
      </c>
      <c r="BS4" s="51">
        <v>0.25454189999999999</v>
      </c>
      <c r="BT4" s="51">
        <v>5.3568400000000002E-2</v>
      </c>
      <c r="BU4" s="51">
        <v>-0.1105298</v>
      </c>
      <c r="BV4" s="51">
        <v>-0.11018500000000001</v>
      </c>
      <c r="BW4" s="51">
        <v>-8.0823599999999995E-2</v>
      </c>
      <c r="BX4" s="51">
        <v>-7.90048E-2</v>
      </c>
      <c r="BY4" s="51">
        <v>-5.8750900000000002E-2</v>
      </c>
      <c r="BZ4" s="51">
        <v>3.1305800000000002E-2</v>
      </c>
      <c r="CA4" s="51">
        <v>5.4565500000000003E-2</v>
      </c>
      <c r="CB4" s="51">
        <v>1.52497E-2</v>
      </c>
      <c r="CC4" s="51">
        <v>-2.0135799999999999E-2</v>
      </c>
      <c r="CD4" s="51">
        <v>-3.3944299999999997E-2</v>
      </c>
      <c r="CE4" s="51">
        <v>-1.7698E-3</v>
      </c>
      <c r="CF4" s="51">
        <v>-2.48226E-2</v>
      </c>
      <c r="CG4" s="51">
        <v>-7.4650999999999995E-2</v>
      </c>
      <c r="CH4" s="51">
        <v>-5.9415299999999997E-2</v>
      </c>
      <c r="CI4" s="51">
        <v>-4.7163299999999998E-2</v>
      </c>
      <c r="CJ4" s="51">
        <v>-7.5936000000000003E-2</v>
      </c>
      <c r="CK4" s="51">
        <v>1.2304499999999999E-2</v>
      </c>
      <c r="CL4" s="51">
        <v>9.7551700000000005E-2</v>
      </c>
      <c r="CM4" s="51">
        <v>0.1084792</v>
      </c>
      <c r="CN4" s="51">
        <v>0.13254479999999999</v>
      </c>
      <c r="CO4" s="51">
        <v>0.18721860000000001</v>
      </c>
      <c r="CP4" s="51">
        <v>0.18988920000000001</v>
      </c>
      <c r="CQ4" s="51">
        <v>0.28840919999999998</v>
      </c>
      <c r="CR4" s="51">
        <v>8.7228299999999995E-2</v>
      </c>
      <c r="CS4" s="51">
        <v>-7.6575400000000002E-2</v>
      </c>
      <c r="CT4" s="51">
        <v>-7.8530799999999998E-2</v>
      </c>
      <c r="CU4" s="51">
        <v>-5.0608300000000002E-2</v>
      </c>
      <c r="CV4" s="51">
        <v>-5.1617099999999999E-2</v>
      </c>
      <c r="CW4" s="51">
        <v>-3.34746E-2</v>
      </c>
      <c r="CX4" s="51">
        <v>4.9493700000000002E-2</v>
      </c>
      <c r="CY4" s="51">
        <v>7.0629600000000001E-2</v>
      </c>
      <c r="CZ4" s="51">
        <v>3.0383799999999999E-2</v>
      </c>
      <c r="DA4" s="51">
        <v>-8.4805000000000002E-3</v>
      </c>
      <c r="DB4" s="51">
        <v>-2.1939699999999999E-2</v>
      </c>
      <c r="DC4" s="51">
        <v>1.0858400000000001E-2</v>
      </c>
      <c r="DD4" s="51">
        <v>-1.12312E-2</v>
      </c>
      <c r="DE4" s="51">
        <v>-6.0915900000000002E-2</v>
      </c>
      <c r="DF4" s="51">
        <v>-4.4699599999999999E-2</v>
      </c>
      <c r="DG4" s="51">
        <v>-2.8893599999999998E-2</v>
      </c>
      <c r="DH4" s="51">
        <v>-5.5092500000000003E-2</v>
      </c>
      <c r="DI4" s="51">
        <v>3.5066199999999999E-2</v>
      </c>
      <c r="DJ4" s="51">
        <v>0.12318900000000001</v>
      </c>
      <c r="DK4" s="51">
        <v>0.13720299999999999</v>
      </c>
      <c r="DL4" s="51">
        <v>0.16319449999999999</v>
      </c>
      <c r="DM4" s="51">
        <v>0.21829580000000001</v>
      </c>
      <c r="DN4" s="51">
        <v>0.2237837</v>
      </c>
      <c r="DO4" s="51">
        <v>0.32227640000000002</v>
      </c>
      <c r="DP4" s="51">
        <v>0.1208881</v>
      </c>
      <c r="DQ4" s="51">
        <v>-4.2620999999999999E-2</v>
      </c>
      <c r="DR4" s="51">
        <v>-4.6876500000000002E-2</v>
      </c>
      <c r="DS4" s="51">
        <v>-2.0393000000000001E-2</v>
      </c>
      <c r="DT4" s="51">
        <v>-2.4229500000000001E-2</v>
      </c>
      <c r="DU4" s="51">
        <v>-8.1981999999999992E-3</v>
      </c>
      <c r="DV4" s="51">
        <v>7.5754199999999994E-2</v>
      </c>
      <c r="DW4" s="51">
        <v>9.3823599999999993E-2</v>
      </c>
      <c r="DX4" s="51">
        <v>5.22351E-2</v>
      </c>
      <c r="DY4" s="51">
        <v>8.3479999999999995E-3</v>
      </c>
      <c r="DZ4" s="51">
        <v>-4.6068999999999997E-3</v>
      </c>
      <c r="EA4" s="51">
        <v>2.9091499999999999E-2</v>
      </c>
      <c r="EB4" s="51">
        <v>8.3926000000000001E-3</v>
      </c>
      <c r="EC4" s="51">
        <v>-4.1084599999999999E-2</v>
      </c>
      <c r="ED4" s="51">
        <v>-2.3452500000000001E-2</v>
      </c>
      <c r="EE4" s="51">
        <v>-2.5149999999999999E-3</v>
      </c>
      <c r="EF4" s="51">
        <v>-2.49979E-2</v>
      </c>
      <c r="EG4" s="51">
        <v>6.7930299999999999E-2</v>
      </c>
      <c r="EH4" s="51">
        <v>0.16020509999999999</v>
      </c>
      <c r="EI4" s="51">
        <v>0.17867549999999999</v>
      </c>
      <c r="EJ4" s="51">
        <v>0.20744770000000001</v>
      </c>
      <c r="EK4" s="51">
        <v>0.26316650000000003</v>
      </c>
      <c r="EL4" s="51">
        <v>0.27272210000000002</v>
      </c>
      <c r="EM4" s="51">
        <v>0.37117539999999999</v>
      </c>
      <c r="EN4" s="51">
        <v>0.16948759999999999</v>
      </c>
      <c r="EO4" s="51">
        <v>6.4037E-3</v>
      </c>
      <c r="EP4" s="51">
        <v>-1.1728000000000001E-3</v>
      </c>
      <c r="EQ4" s="51">
        <v>2.3233E-2</v>
      </c>
      <c r="ER4" s="51">
        <v>1.5313999999999999E-2</v>
      </c>
      <c r="ES4" s="51">
        <v>2.82969E-2</v>
      </c>
      <c r="ET4" s="51">
        <v>71</v>
      </c>
      <c r="EU4" s="51">
        <v>76</v>
      </c>
      <c r="EV4" s="51">
        <v>79</v>
      </c>
      <c r="EW4" s="51">
        <v>75</v>
      </c>
      <c r="EX4" s="51">
        <v>83</v>
      </c>
      <c r="EY4" s="51">
        <v>78</v>
      </c>
      <c r="EZ4" s="51">
        <v>75</v>
      </c>
      <c r="FA4" s="51">
        <v>80</v>
      </c>
      <c r="FB4" s="51">
        <v>90</v>
      </c>
      <c r="FC4" s="51">
        <v>93</v>
      </c>
      <c r="FD4" s="51">
        <v>102</v>
      </c>
      <c r="FE4" s="51">
        <v>104</v>
      </c>
      <c r="FF4" s="51">
        <v>100</v>
      </c>
      <c r="FG4" s="51">
        <v>103</v>
      </c>
      <c r="FH4" s="51">
        <v>103</v>
      </c>
      <c r="FI4" s="51">
        <v>100</v>
      </c>
      <c r="FJ4" s="51">
        <v>102</v>
      </c>
      <c r="FK4" s="51">
        <v>99</v>
      </c>
      <c r="FL4" s="51">
        <v>93</v>
      </c>
      <c r="FM4" s="51">
        <v>89</v>
      </c>
      <c r="FN4" s="51">
        <v>87</v>
      </c>
      <c r="FO4" s="51">
        <v>87</v>
      </c>
      <c r="FP4" s="51">
        <v>84</v>
      </c>
      <c r="FQ4" s="51">
        <v>84</v>
      </c>
      <c r="FR4">
        <v>2.20191E-2</v>
      </c>
      <c r="FS4">
        <v>4.3505099999999998E-2</v>
      </c>
    </row>
    <row r="5" spans="1:175" x14ac:dyDescent="0.2">
      <c r="A5" t="s">
        <v>197</v>
      </c>
      <c r="B5" t="s">
        <v>214</v>
      </c>
      <c r="C5" s="58">
        <v>42639</v>
      </c>
      <c r="D5" s="30" t="s">
        <v>209</v>
      </c>
      <c r="E5" s="52">
        <v>3063</v>
      </c>
      <c r="F5" s="51">
        <v>0.89132990000000001</v>
      </c>
      <c r="G5" s="51">
        <v>0.79581040000000003</v>
      </c>
      <c r="H5" s="51">
        <v>0.72959130000000005</v>
      </c>
      <c r="I5" s="51">
        <v>0.66569769999999995</v>
      </c>
      <c r="J5" s="51">
        <v>0.64547259999999995</v>
      </c>
      <c r="K5" s="51">
        <v>0.66646970000000005</v>
      </c>
      <c r="L5" s="51">
        <v>0.71227309999999999</v>
      </c>
      <c r="M5" s="51">
        <v>0.70169930000000003</v>
      </c>
      <c r="N5" s="51">
        <v>0.68334070000000002</v>
      </c>
      <c r="O5" s="51">
        <v>0.70431200000000005</v>
      </c>
      <c r="P5" s="51">
        <v>0.75955899999999998</v>
      </c>
      <c r="Q5" s="51">
        <v>0.83772179999999996</v>
      </c>
      <c r="R5" s="51">
        <v>0.92677929999999997</v>
      </c>
      <c r="S5" s="51">
        <v>0.99819599999999997</v>
      </c>
      <c r="T5" s="51">
        <v>1.114404</v>
      </c>
      <c r="U5" s="51">
        <v>1.242041</v>
      </c>
      <c r="V5" s="51">
        <v>1.3699790000000001</v>
      </c>
      <c r="W5" s="51">
        <v>1.535658</v>
      </c>
      <c r="X5" s="51">
        <v>1.708763</v>
      </c>
      <c r="Y5" s="51">
        <v>1.8380639999999999</v>
      </c>
      <c r="Z5" s="51">
        <v>1.817421</v>
      </c>
      <c r="AA5" s="51">
        <v>1.6758040000000001</v>
      </c>
      <c r="AB5" s="51">
        <v>1.4868060000000001</v>
      </c>
      <c r="AC5" s="51">
        <v>1.312799</v>
      </c>
      <c r="AD5" s="51">
        <v>2.6511999999999998E-3</v>
      </c>
      <c r="AE5" s="51">
        <v>9.9004999999999996E-3</v>
      </c>
      <c r="AF5" s="51">
        <v>-2.0595000000000001E-3</v>
      </c>
      <c r="AG5" s="51">
        <v>-1.4773700000000001E-2</v>
      </c>
      <c r="AH5" s="51">
        <v>-1.41244E-2</v>
      </c>
      <c r="AI5" s="51">
        <v>-4.3065000000000004E-3</v>
      </c>
      <c r="AJ5" s="51">
        <v>-2.3120000000000002E-2</v>
      </c>
      <c r="AK5" s="51">
        <v>-4.4016E-2</v>
      </c>
      <c r="AL5" s="51">
        <v>-4.4057199999999998E-2</v>
      </c>
      <c r="AM5" s="51">
        <v>-4.3895299999999998E-2</v>
      </c>
      <c r="AN5" s="51">
        <v>-4.0956399999999997E-2</v>
      </c>
      <c r="AO5" s="51">
        <v>2.7283499999999999E-2</v>
      </c>
      <c r="AP5" s="51">
        <v>7.6921600000000007E-2</v>
      </c>
      <c r="AQ5" s="51">
        <v>7.5032600000000005E-2</v>
      </c>
      <c r="AR5" s="51">
        <v>9.9880899999999995E-2</v>
      </c>
      <c r="AS5" s="51">
        <v>0.1454155</v>
      </c>
      <c r="AT5" s="51">
        <v>0.16946890000000001</v>
      </c>
      <c r="AU5" s="51">
        <v>0.183313</v>
      </c>
      <c r="AV5" s="51">
        <v>5.6006399999999998E-2</v>
      </c>
      <c r="AW5" s="51">
        <v>-3.99324E-2</v>
      </c>
      <c r="AX5" s="51">
        <v>-6.5751799999999999E-2</v>
      </c>
      <c r="AY5" s="51">
        <v>-8.8859499999999994E-2</v>
      </c>
      <c r="AZ5" s="51">
        <v>-9.3185799999999999E-2</v>
      </c>
      <c r="BA5" s="51">
        <v>-7.4123700000000001E-2</v>
      </c>
      <c r="BB5" s="51">
        <v>1.51062E-2</v>
      </c>
      <c r="BC5" s="51">
        <v>2.1004200000000001E-2</v>
      </c>
      <c r="BD5" s="51">
        <v>9.1126999999999996E-3</v>
      </c>
      <c r="BE5" s="51">
        <v>-5.5890999999999996E-3</v>
      </c>
      <c r="BF5" s="51">
        <v>-5.1456999999999996E-3</v>
      </c>
      <c r="BG5" s="51">
        <v>4.1973000000000002E-3</v>
      </c>
      <c r="BH5" s="51">
        <v>-1.4253699999999999E-2</v>
      </c>
      <c r="BI5" s="51">
        <v>-3.4727099999999997E-2</v>
      </c>
      <c r="BJ5" s="51">
        <v>-3.3890299999999998E-2</v>
      </c>
      <c r="BK5" s="51">
        <v>-3.2198999999999998E-2</v>
      </c>
      <c r="BL5" s="51">
        <v>-2.7221700000000001E-2</v>
      </c>
      <c r="BM5" s="51">
        <v>4.2645299999999997E-2</v>
      </c>
      <c r="BN5" s="51">
        <v>9.3926800000000005E-2</v>
      </c>
      <c r="BO5" s="51">
        <v>9.4137299999999993E-2</v>
      </c>
      <c r="BP5" s="51">
        <v>0.12025859999999999</v>
      </c>
      <c r="BQ5" s="51">
        <v>0.16638800000000001</v>
      </c>
      <c r="BR5" s="51">
        <v>0.1917768</v>
      </c>
      <c r="BS5" s="51">
        <v>0.20672509999999999</v>
      </c>
      <c r="BT5" s="51">
        <v>7.9732800000000006E-2</v>
      </c>
      <c r="BU5" s="51">
        <v>-1.59837E-2</v>
      </c>
      <c r="BV5" s="51">
        <v>-4.30988E-2</v>
      </c>
      <c r="BW5" s="51">
        <v>-6.7844799999999997E-2</v>
      </c>
      <c r="BX5" s="51">
        <v>-7.4105500000000005E-2</v>
      </c>
      <c r="BY5" s="51">
        <v>-5.7017699999999998E-2</v>
      </c>
      <c r="BZ5" s="51">
        <v>2.37325E-2</v>
      </c>
      <c r="CA5" s="51">
        <v>2.8694600000000001E-2</v>
      </c>
      <c r="CB5" s="51">
        <v>1.6850500000000001E-2</v>
      </c>
      <c r="CC5" s="51">
        <v>7.7200000000000001E-4</v>
      </c>
      <c r="CD5" s="51">
        <v>1.0728999999999999E-3</v>
      </c>
      <c r="CE5" s="51">
        <v>1.0086899999999999E-2</v>
      </c>
      <c r="CF5" s="51">
        <v>-8.1128999999999993E-3</v>
      </c>
      <c r="CG5" s="51">
        <v>-2.8293700000000001E-2</v>
      </c>
      <c r="CH5" s="51">
        <v>-2.68487E-2</v>
      </c>
      <c r="CI5" s="51">
        <v>-2.4098100000000001E-2</v>
      </c>
      <c r="CJ5" s="51">
        <v>-1.7709099999999998E-2</v>
      </c>
      <c r="CK5" s="51">
        <v>5.32848E-2</v>
      </c>
      <c r="CL5" s="51">
        <v>0.1057046</v>
      </c>
      <c r="CM5" s="51">
        <v>0.1073692</v>
      </c>
      <c r="CN5" s="51">
        <v>0.1343722</v>
      </c>
      <c r="CO5" s="51">
        <v>0.1809134</v>
      </c>
      <c r="CP5" s="51">
        <v>0.2072271</v>
      </c>
      <c r="CQ5" s="51">
        <v>0.22294020000000001</v>
      </c>
      <c r="CR5" s="51">
        <v>9.6165600000000004E-2</v>
      </c>
      <c r="CS5" s="51">
        <v>6.0320000000000003E-4</v>
      </c>
      <c r="CT5" s="51">
        <v>-2.74095E-2</v>
      </c>
      <c r="CU5" s="51">
        <v>-5.3289999999999997E-2</v>
      </c>
      <c r="CV5" s="51">
        <v>-6.08905E-2</v>
      </c>
      <c r="CW5" s="51">
        <v>-4.5170099999999998E-2</v>
      </c>
      <c r="CX5" s="51">
        <v>3.23588E-2</v>
      </c>
      <c r="CY5" s="51">
        <v>3.6385099999999997E-2</v>
      </c>
      <c r="CZ5" s="51">
        <v>2.45884E-2</v>
      </c>
      <c r="DA5" s="51">
        <v>7.1332000000000001E-3</v>
      </c>
      <c r="DB5" s="51">
        <v>7.2914E-3</v>
      </c>
      <c r="DC5" s="51">
        <v>1.5976600000000001E-2</v>
      </c>
      <c r="DD5" s="51">
        <v>-1.9719999999999998E-3</v>
      </c>
      <c r="DE5" s="51">
        <v>-2.18602E-2</v>
      </c>
      <c r="DF5" s="51">
        <v>-1.9807200000000001E-2</v>
      </c>
      <c r="DG5" s="51">
        <v>-1.5997299999999999E-2</v>
      </c>
      <c r="DH5" s="51">
        <v>-8.1965000000000007E-3</v>
      </c>
      <c r="DI5" s="51">
        <v>6.3924400000000006E-2</v>
      </c>
      <c r="DJ5" s="51">
        <v>0.1174823</v>
      </c>
      <c r="DK5" s="51">
        <v>0.120601</v>
      </c>
      <c r="DL5" s="51">
        <v>0.1484857</v>
      </c>
      <c r="DM5" s="51">
        <v>0.1954389</v>
      </c>
      <c r="DN5" s="51">
        <v>0.2226775</v>
      </c>
      <c r="DO5" s="51">
        <v>0.23915539999999999</v>
      </c>
      <c r="DP5" s="51">
        <v>0.1125984</v>
      </c>
      <c r="DQ5" s="51">
        <v>1.719E-2</v>
      </c>
      <c r="DR5" s="51">
        <v>-1.1720100000000001E-2</v>
      </c>
      <c r="DS5" s="51">
        <v>-3.8735199999999997E-2</v>
      </c>
      <c r="DT5" s="51">
        <v>-4.7675599999999999E-2</v>
      </c>
      <c r="DU5" s="51">
        <v>-3.3322499999999998E-2</v>
      </c>
      <c r="DV5" s="51">
        <v>4.4813800000000001E-2</v>
      </c>
      <c r="DW5" s="51">
        <v>4.7488799999999998E-2</v>
      </c>
      <c r="DX5" s="51">
        <v>3.5760599999999997E-2</v>
      </c>
      <c r="DY5" s="51">
        <v>1.63178E-2</v>
      </c>
      <c r="DZ5" s="51">
        <v>1.6270099999999999E-2</v>
      </c>
      <c r="EA5" s="51">
        <v>2.44803E-2</v>
      </c>
      <c r="EB5" s="51">
        <v>6.8942999999999999E-3</v>
      </c>
      <c r="EC5" s="51">
        <v>-1.2571300000000001E-2</v>
      </c>
      <c r="ED5" s="51">
        <v>-9.6402999999999992E-3</v>
      </c>
      <c r="EE5" s="51">
        <v>-4.3008999999999999E-3</v>
      </c>
      <c r="EF5" s="51">
        <v>5.5382000000000001E-3</v>
      </c>
      <c r="EG5" s="51">
        <v>7.9286200000000001E-2</v>
      </c>
      <c r="EH5" s="51">
        <v>0.13448750000000001</v>
      </c>
      <c r="EI5" s="51">
        <v>0.13970569999999999</v>
      </c>
      <c r="EJ5" s="51">
        <v>0.1688634</v>
      </c>
      <c r="EK5" s="51">
        <v>0.2164114</v>
      </c>
      <c r="EL5" s="51">
        <v>0.24498539999999999</v>
      </c>
      <c r="EM5" s="51">
        <v>0.26256740000000001</v>
      </c>
      <c r="EN5" s="51">
        <v>0.1363248</v>
      </c>
      <c r="EO5" s="51">
        <v>4.1138800000000003E-2</v>
      </c>
      <c r="EP5" s="51">
        <v>1.0932799999999999E-2</v>
      </c>
      <c r="EQ5" s="51">
        <v>-1.77205E-2</v>
      </c>
      <c r="ER5" s="51">
        <v>-2.8595300000000001E-2</v>
      </c>
      <c r="ES5" s="51">
        <v>-1.6216399999999999E-2</v>
      </c>
      <c r="ET5" s="51">
        <v>73.358360000000005</v>
      </c>
      <c r="EU5" s="51">
        <v>74.231232000000006</v>
      </c>
      <c r="EV5" s="51">
        <v>74.872878999999998</v>
      </c>
      <c r="EW5" s="51">
        <v>72.052054999999996</v>
      </c>
      <c r="EX5" s="51">
        <v>75.335341999999997</v>
      </c>
      <c r="EY5" s="51">
        <v>73.283287000000001</v>
      </c>
      <c r="EZ5" s="51">
        <v>73.820824000000002</v>
      </c>
      <c r="FA5" s="51">
        <v>76.462463</v>
      </c>
      <c r="FB5" s="51">
        <v>81.156158000000005</v>
      </c>
      <c r="FC5" s="51">
        <v>87.693695000000005</v>
      </c>
      <c r="FD5" s="51">
        <v>97.283287000000001</v>
      </c>
      <c r="FE5" s="51">
        <v>98.104111000000003</v>
      </c>
      <c r="FF5" s="51">
        <v>97.052054999999996</v>
      </c>
      <c r="FG5" s="51">
        <v>100.64164</v>
      </c>
      <c r="FH5" s="51">
        <v>101.23123</v>
      </c>
      <c r="FI5" s="51">
        <v>98.820824000000002</v>
      </c>
      <c r="FJ5" s="51">
        <v>100.23123</v>
      </c>
      <c r="FK5" s="51">
        <v>98.410408000000004</v>
      </c>
      <c r="FL5" s="51">
        <v>91.820824000000002</v>
      </c>
      <c r="FM5" s="51">
        <v>85.462463</v>
      </c>
      <c r="FN5" s="51">
        <v>85.820824000000002</v>
      </c>
      <c r="FO5" s="51">
        <v>85.820824000000002</v>
      </c>
      <c r="FP5" s="51">
        <v>87.537537</v>
      </c>
      <c r="FQ5" s="51">
        <v>86.947945000000004</v>
      </c>
      <c r="FR5">
        <v>1.09573E-2</v>
      </c>
      <c r="FS5">
        <v>2.04703E-2</v>
      </c>
    </row>
    <row r="6" spans="1:175" x14ac:dyDescent="0.2">
      <c r="A6" t="s">
        <v>197</v>
      </c>
      <c r="B6" t="s">
        <v>214</v>
      </c>
      <c r="C6" s="56">
        <v>42639</v>
      </c>
      <c r="D6" s="30" t="s">
        <v>210</v>
      </c>
      <c r="E6" s="52">
        <v>1773</v>
      </c>
      <c r="F6" s="51">
        <v>0.85956750000000004</v>
      </c>
      <c r="G6" s="51">
        <v>0.76223540000000001</v>
      </c>
      <c r="H6" s="51">
        <v>0.7063429</v>
      </c>
      <c r="I6" s="51">
        <v>0.65193290000000004</v>
      </c>
      <c r="J6" s="51">
        <v>0.62858530000000001</v>
      </c>
      <c r="K6" s="51">
        <v>0.62337880000000001</v>
      </c>
      <c r="L6" s="51">
        <v>0.66455160000000002</v>
      </c>
      <c r="M6" s="51">
        <v>0.67576800000000004</v>
      </c>
      <c r="N6" s="51">
        <v>0.65497930000000004</v>
      </c>
      <c r="O6" s="51">
        <v>0.67183700000000002</v>
      </c>
      <c r="P6" s="51">
        <v>0.72626089999999999</v>
      </c>
      <c r="Q6" s="51">
        <v>0.80241560000000001</v>
      </c>
      <c r="R6" s="51">
        <v>0.88981619999999995</v>
      </c>
      <c r="S6" s="51">
        <v>0.95249340000000005</v>
      </c>
      <c r="T6" s="51">
        <v>1.044254</v>
      </c>
      <c r="U6" s="51">
        <v>1.1512640000000001</v>
      </c>
      <c r="V6" s="51">
        <v>1.272804</v>
      </c>
      <c r="W6" s="51">
        <v>1.4224190000000001</v>
      </c>
      <c r="X6" s="51">
        <v>1.5906659999999999</v>
      </c>
      <c r="Y6" s="51">
        <v>1.7206710000000001</v>
      </c>
      <c r="Z6" s="51">
        <v>1.6958299999999999</v>
      </c>
      <c r="AA6" s="51">
        <v>1.546079</v>
      </c>
      <c r="AB6" s="51">
        <v>1.3802859999999999</v>
      </c>
      <c r="AC6" s="51">
        <v>1.2236290000000001</v>
      </c>
      <c r="AD6" s="51">
        <v>-1.3442E-3</v>
      </c>
      <c r="AE6" s="51">
        <v>-3.1532999999999999E-3</v>
      </c>
      <c r="AF6" s="51">
        <v>-4.0689999999999997E-3</v>
      </c>
      <c r="AG6" s="51">
        <v>-9.0142E-3</v>
      </c>
      <c r="AH6" s="51">
        <v>-5.7240000000000004E-4</v>
      </c>
      <c r="AI6" s="51">
        <v>-2.4810000000000001E-4</v>
      </c>
      <c r="AJ6" s="51">
        <v>-1.8960500000000002E-2</v>
      </c>
      <c r="AK6" s="51">
        <v>-2.7861299999999999E-2</v>
      </c>
      <c r="AL6" s="51">
        <v>-3.5433600000000003E-2</v>
      </c>
      <c r="AM6" s="51">
        <v>-3.8532499999999997E-2</v>
      </c>
      <c r="AN6" s="51">
        <v>-1.7300099999999999E-2</v>
      </c>
      <c r="AO6" s="51">
        <v>5.3031599999999998E-2</v>
      </c>
      <c r="AP6" s="51">
        <v>9.4786899999999993E-2</v>
      </c>
      <c r="AQ6" s="51">
        <v>8.9573700000000006E-2</v>
      </c>
      <c r="AR6" s="51">
        <v>0.1201175</v>
      </c>
      <c r="AS6" s="51">
        <v>0.16642789999999999</v>
      </c>
      <c r="AT6" s="51">
        <v>0.2070236</v>
      </c>
      <c r="AU6" s="51">
        <v>0.17858379999999999</v>
      </c>
      <c r="AV6" s="51">
        <v>6.8922499999999998E-2</v>
      </c>
      <c r="AW6" s="51">
        <v>-6.8823E-3</v>
      </c>
      <c r="AX6" s="51">
        <v>-5.0951999999999997E-2</v>
      </c>
      <c r="AY6" s="51">
        <v>-0.1060682</v>
      </c>
      <c r="AZ6" s="51">
        <v>-0.1154707</v>
      </c>
      <c r="BA6" s="51">
        <v>-9.4376199999999993E-2</v>
      </c>
      <c r="BB6" s="51">
        <v>1.4370900000000001E-2</v>
      </c>
      <c r="BC6" s="51">
        <v>1.0931E-2</v>
      </c>
      <c r="BD6" s="51">
        <v>1.07174E-2</v>
      </c>
      <c r="BE6" s="51">
        <v>3.6135E-3</v>
      </c>
      <c r="BF6" s="51">
        <v>1.1475300000000001E-2</v>
      </c>
      <c r="BG6" s="51">
        <v>1.03806E-2</v>
      </c>
      <c r="BH6" s="51">
        <v>-8.1884000000000002E-3</v>
      </c>
      <c r="BI6" s="51">
        <v>-1.6244700000000001E-2</v>
      </c>
      <c r="BJ6" s="51">
        <v>-2.2520100000000001E-2</v>
      </c>
      <c r="BK6" s="51">
        <v>-2.4589E-2</v>
      </c>
      <c r="BL6" s="51">
        <v>-4.793E-4</v>
      </c>
      <c r="BM6" s="51">
        <v>7.2160799999999997E-2</v>
      </c>
      <c r="BN6" s="51">
        <v>0.1155765</v>
      </c>
      <c r="BO6" s="51">
        <v>0.1128836</v>
      </c>
      <c r="BP6" s="51">
        <v>0.1449695</v>
      </c>
      <c r="BQ6" s="51">
        <v>0.19245809999999999</v>
      </c>
      <c r="BR6" s="51">
        <v>0.2340903</v>
      </c>
      <c r="BS6" s="51">
        <v>0.20808160000000001</v>
      </c>
      <c r="BT6" s="51">
        <v>9.9328200000000005E-2</v>
      </c>
      <c r="BU6" s="51">
        <v>2.38985E-2</v>
      </c>
      <c r="BV6" s="51">
        <v>-2.1549599999999999E-2</v>
      </c>
      <c r="BW6" s="51">
        <v>-7.9291700000000007E-2</v>
      </c>
      <c r="BX6" s="51">
        <v>-9.10966E-2</v>
      </c>
      <c r="BY6" s="51">
        <v>-7.2967199999999996E-2</v>
      </c>
      <c r="BZ6" s="51">
        <v>2.5255199999999998E-2</v>
      </c>
      <c r="CA6" s="51">
        <v>2.0685800000000001E-2</v>
      </c>
      <c r="CB6" s="51">
        <v>2.0958500000000001E-2</v>
      </c>
      <c r="CC6" s="51">
        <v>1.23593E-2</v>
      </c>
      <c r="CD6" s="51">
        <v>1.98195E-2</v>
      </c>
      <c r="CE6" s="51">
        <v>1.77421E-2</v>
      </c>
      <c r="CF6" s="51">
        <v>-7.2769999999999996E-4</v>
      </c>
      <c r="CG6" s="51">
        <v>-8.1989999999999997E-3</v>
      </c>
      <c r="CH6" s="51">
        <v>-1.35762E-2</v>
      </c>
      <c r="CI6" s="51">
        <v>-1.49318E-2</v>
      </c>
      <c r="CJ6" s="51">
        <v>1.11708E-2</v>
      </c>
      <c r="CK6" s="51">
        <v>8.5409600000000002E-2</v>
      </c>
      <c r="CL6" s="51">
        <v>0.12997529999999999</v>
      </c>
      <c r="CM6" s="51">
        <v>0.1290279</v>
      </c>
      <c r="CN6" s="51">
        <v>0.16218189999999999</v>
      </c>
      <c r="CO6" s="51">
        <v>0.21048649999999999</v>
      </c>
      <c r="CP6" s="51">
        <v>0.25283660000000002</v>
      </c>
      <c r="CQ6" s="51">
        <v>0.22851160000000001</v>
      </c>
      <c r="CR6" s="51">
        <v>0.12038699999999999</v>
      </c>
      <c r="CS6" s="51">
        <v>4.5217199999999999E-2</v>
      </c>
      <c r="CT6" s="51">
        <v>-1.1854999999999999E-3</v>
      </c>
      <c r="CU6" s="51">
        <v>-6.0746399999999999E-2</v>
      </c>
      <c r="CV6" s="51">
        <v>-7.4215100000000006E-2</v>
      </c>
      <c r="CW6" s="51">
        <v>-5.8139400000000001E-2</v>
      </c>
      <c r="CX6" s="51">
        <v>3.6139400000000002E-2</v>
      </c>
      <c r="CY6" s="51">
        <v>3.0440600000000002E-2</v>
      </c>
      <c r="CZ6" s="51">
        <v>3.1199600000000001E-2</v>
      </c>
      <c r="DA6" s="51">
        <v>2.1105100000000002E-2</v>
      </c>
      <c r="DB6" s="51">
        <v>2.81637E-2</v>
      </c>
      <c r="DC6" s="51">
        <v>2.51036E-2</v>
      </c>
      <c r="DD6" s="51">
        <v>6.7330000000000003E-3</v>
      </c>
      <c r="DE6" s="51">
        <v>-1.5330000000000001E-4</v>
      </c>
      <c r="DF6" s="51">
        <v>-4.6322999999999998E-3</v>
      </c>
      <c r="DG6" s="51">
        <v>-5.2744999999999997E-3</v>
      </c>
      <c r="DH6" s="51">
        <v>2.2820799999999999E-2</v>
      </c>
      <c r="DI6" s="51">
        <v>9.8658399999999993E-2</v>
      </c>
      <c r="DJ6" s="51">
        <v>0.14437410000000001</v>
      </c>
      <c r="DK6" s="51">
        <v>0.1451723</v>
      </c>
      <c r="DL6" s="51">
        <v>0.17939440000000001</v>
      </c>
      <c r="DM6" s="51">
        <v>0.22851489999999999</v>
      </c>
      <c r="DN6" s="51">
        <v>0.27158290000000002</v>
      </c>
      <c r="DO6" s="51">
        <v>0.24894169999999999</v>
      </c>
      <c r="DP6" s="51">
        <v>0.14144590000000001</v>
      </c>
      <c r="DQ6" s="51">
        <v>6.6535899999999995E-2</v>
      </c>
      <c r="DR6" s="51">
        <v>1.9178600000000001E-2</v>
      </c>
      <c r="DS6" s="51">
        <v>-4.2201099999999998E-2</v>
      </c>
      <c r="DT6" s="51">
        <v>-5.7333700000000001E-2</v>
      </c>
      <c r="DU6" s="51">
        <v>-4.3311599999999999E-2</v>
      </c>
      <c r="DV6" s="51">
        <v>5.1854499999999998E-2</v>
      </c>
      <c r="DW6" s="51">
        <v>4.4525000000000002E-2</v>
      </c>
      <c r="DX6" s="51">
        <v>4.5985999999999999E-2</v>
      </c>
      <c r="DY6" s="51">
        <v>3.37328E-2</v>
      </c>
      <c r="DZ6" s="51">
        <v>4.0211499999999997E-2</v>
      </c>
      <c r="EA6" s="51">
        <v>3.5732399999999997E-2</v>
      </c>
      <c r="EB6" s="51">
        <v>1.7505E-2</v>
      </c>
      <c r="EC6" s="51">
        <v>1.1463299999999999E-2</v>
      </c>
      <c r="ED6" s="51">
        <v>8.2812000000000007E-3</v>
      </c>
      <c r="EE6" s="51">
        <v>8.6689999999999996E-3</v>
      </c>
      <c r="EF6" s="51">
        <v>3.9641700000000002E-2</v>
      </c>
      <c r="EG6" s="51">
        <v>0.11778760000000001</v>
      </c>
      <c r="EH6" s="51">
        <v>0.1651637</v>
      </c>
      <c r="EI6" s="51">
        <v>0.1684822</v>
      </c>
      <c r="EJ6" s="51">
        <v>0.20424639999999999</v>
      </c>
      <c r="EK6" s="51">
        <v>0.25454510000000002</v>
      </c>
      <c r="EL6" s="51">
        <v>0.29864950000000001</v>
      </c>
      <c r="EM6" s="51">
        <v>0.2784394</v>
      </c>
      <c r="EN6" s="51">
        <v>0.17185149999999999</v>
      </c>
      <c r="EO6" s="51">
        <v>9.7316700000000006E-2</v>
      </c>
      <c r="EP6" s="51">
        <v>4.8580999999999999E-2</v>
      </c>
      <c r="EQ6" s="51">
        <v>-1.5424500000000001E-2</v>
      </c>
      <c r="ER6" s="51">
        <v>-3.2959599999999999E-2</v>
      </c>
      <c r="ES6" s="51">
        <v>-2.1902600000000001E-2</v>
      </c>
      <c r="ET6" s="51">
        <v>75</v>
      </c>
      <c r="EU6" s="51">
        <v>73</v>
      </c>
      <c r="EV6" s="51">
        <v>72</v>
      </c>
      <c r="EW6" s="51">
        <v>70</v>
      </c>
      <c r="EX6" s="51">
        <v>70</v>
      </c>
      <c r="EY6" s="51">
        <v>70</v>
      </c>
      <c r="EZ6" s="51">
        <v>73</v>
      </c>
      <c r="FA6" s="51">
        <v>74</v>
      </c>
      <c r="FB6" s="51">
        <v>75</v>
      </c>
      <c r="FC6" s="51">
        <v>84</v>
      </c>
      <c r="FD6" s="51">
        <v>94</v>
      </c>
      <c r="FE6" s="51">
        <v>94</v>
      </c>
      <c r="FF6" s="51">
        <v>95</v>
      </c>
      <c r="FG6" s="51">
        <v>99</v>
      </c>
      <c r="FH6" s="51">
        <v>100</v>
      </c>
      <c r="FI6" s="51">
        <v>98</v>
      </c>
      <c r="FJ6" s="51">
        <v>99</v>
      </c>
      <c r="FK6" s="51">
        <v>98</v>
      </c>
      <c r="FL6" s="51">
        <v>91</v>
      </c>
      <c r="FM6" s="51">
        <v>83</v>
      </c>
      <c r="FN6" s="51">
        <v>85</v>
      </c>
      <c r="FO6" s="51">
        <v>85</v>
      </c>
      <c r="FP6" s="51">
        <v>90</v>
      </c>
      <c r="FQ6" s="51">
        <v>89</v>
      </c>
      <c r="FR6">
        <v>1.41672E-2</v>
      </c>
      <c r="FS6">
        <v>2.5387099999999999E-2</v>
      </c>
    </row>
    <row r="7" spans="1:175" x14ac:dyDescent="0.2">
      <c r="A7" t="s">
        <v>197</v>
      </c>
      <c r="B7" t="s">
        <v>214</v>
      </c>
      <c r="C7" s="58">
        <v>42639</v>
      </c>
      <c r="D7" s="30" t="s">
        <v>211</v>
      </c>
      <c r="E7" s="52">
        <v>1290</v>
      </c>
      <c r="F7" s="51">
        <v>0.93968220000000002</v>
      </c>
      <c r="G7" s="51">
        <v>0.84614259999999997</v>
      </c>
      <c r="H7" s="51">
        <v>0.76386200000000004</v>
      </c>
      <c r="I7" s="51">
        <v>0.68573680000000004</v>
      </c>
      <c r="J7" s="51">
        <v>0.66927760000000003</v>
      </c>
      <c r="K7" s="51">
        <v>0.72791189999999995</v>
      </c>
      <c r="L7" s="51">
        <v>0.78030900000000003</v>
      </c>
      <c r="M7" s="51">
        <v>0.73824409999999996</v>
      </c>
      <c r="N7" s="51">
        <v>0.72394159999999996</v>
      </c>
      <c r="O7" s="51">
        <v>0.75167050000000002</v>
      </c>
      <c r="P7" s="51">
        <v>0.80772679999999997</v>
      </c>
      <c r="Q7" s="51">
        <v>0.89084549999999996</v>
      </c>
      <c r="R7" s="51">
        <v>0.98466370000000003</v>
      </c>
      <c r="S7" s="51">
        <v>1.0716889999999999</v>
      </c>
      <c r="T7" s="51">
        <v>1.2235069999999999</v>
      </c>
      <c r="U7" s="51">
        <v>1.379151</v>
      </c>
      <c r="V7" s="51">
        <v>1.515074</v>
      </c>
      <c r="W7" s="51">
        <v>1.7069719999999999</v>
      </c>
      <c r="X7" s="51">
        <v>1.884668</v>
      </c>
      <c r="Y7" s="51">
        <v>2.0108380000000001</v>
      </c>
      <c r="Z7" s="51">
        <v>1.996302</v>
      </c>
      <c r="AA7" s="51">
        <v>1.86551</v>
      </c>
      <c r="AB7" s="51">
        <v>1.6415660000000001</v>
      </c>
      <c r="AC7" s="51">
        <v>1.4414880000000001</v>
      </c>
      <c r="AD7" s="51">
        <v>-1.01882E-2</v>
      </c>
      <c r="AE7" s="51">
        <v>1.1866099999999999E-2</v>
      </c>
      <c r="AF7" s="51">
        <v>-1.68494E-2</v>
      </c>
      <c r="AG7" s="51">
        <v>-3.76897E-2</v>
      </c>
      <c r="AH7" s="51">
        <v>-4.9055599999999998E-2</v>
      </c>
      <c r="AI7" s="51">
        <v>-2.5295399999999999E-2</v>
      </c>
      <c r="AJ7" s="51">
        <v>-4.4990500000000003E-2</v>
      </c>
      <c r="AK7" s="51">
        <v>-8.3889400000000003E-2</v>
      </c>
      <c r="AL7" s="51">
        <v>-7.3936600000000005E-2</v>
      </c>
      <c r="AM7" s="51">
        <v>-7.1171799999999993E-2</v>
      </c>
      <c r="AN7" s="51">
        <v>-9.8351999999999995E-2</v>
      </c>
      <c r="AO7" s="51">
        <v>-3.3582399999999998E-2</v>
      </c>
      <c r="AP7" s="51">
        <v>2.7052900000000001E-2</v>
      </c>
      <c r="AQ7" s="51">
        <v>2.9676600000000001E-2</v>
      </c>
      <c r="AR7" s="51">
        <v>4.4683599999999997E-2</v>
      </c>
      <c r="AS7" s="51">
        <v>8.6256399999999997E-2</v>
      </c>
      <c r="AT7" s="51">
        <v>8.2989400000000005E-2</v>
      </c>
      <c r="AU7" s="51">
        <v>0.1594132</v>
      </c>
      <c r="AV7" s="51">
        <v>3.8519000000000001E-3</v>
      </c>
      <c r="AW7" s="51">
        <v>-0.1236857</v>
      </c>
      <c r="AX7" s="51">
        <v>-0.12084399999999999</v>
      </c>
      <c r="AY7" s="51">
        <v>-9.6472600000000006E-2</v>
      </c>
      <c r="AZ7" s="51">
        <v>-9.1897900000000005E-2</v>
      </c>
      <c r="BA7" s="51">
        <v>-7.38341E-2</v>
      </c>
      <c r="BB7" s="51">
        <v>1.01688E-2</v>
      </c>
      <c r="BC7" s="51">
        <v>2.9846000000000001E-2</v>
      </c>
      <c r="BD7" s="51">
        <v>8.9599999999999996E-5</v>
      </c>
      <c r="BE7" s="51">
        <v>-2.46444E-2</v>
      </c>
      <c r="BF7" s="51">
        <v>-3.56193E-2</v>
      </c>
      <c r="BG7" s="51">
        <v>-1.11612E-2</v>
      </c>
      <c r="BH7" s="51">
        <v>-2.9778200000000001E-2</v>
      </c>
      <c r="BI7" s="51">
        <v>-6.8516300000000002E-2</v>
      </c>
      <c r="BJ7" s="51">
        <v>-5.74659E-2</v>
      </c>
      <c r="BK7" s="51">
        <v>-5.0723299999999999E-2</v>
      </c>
      <c r="BL7" s="51">
        <v>-7.5022800000000001E-2</v>
      </c>
      <c r="BM7" s="51">
        <v>-8.1063000000000003E-3</v>
      </c>
      <c r="BN7" s="51">
        <v>5.5747600000000001E-2</v>
      </c>
      <c r="BO7" s="51">
        <v>6.1825900000000003E-2</v>
      </c>
      <c r="BP7" s="51">
        <v>7.8988500000000003E-2</v>
      </c>
      <c r="BQ7" s="51">
        <v>0.1210398</v>
      </c>
      <c r="BR7" s="51">
        <v>0.12092609999999999</v>
      </c>
      <c r="BS7" s="51">
        <v>0.1973193</v>
      </c>
      <c r="BT7" s="51">
        <v>4.1525899999999998E-2</v>
      </c>
      <c r="BU7" s="51">
        <v>-8.5681999999999994E-2</v>
      </c>
      <c r="BV7" s="51">
        <v>-8.5414799999999999E-2</v>
      </c>
      <c r="BW7" s="51">
        <v>-6.2653899999999998E-2</v>
      </c>
      <c r="BX7" s="51">
        <v>-6.1244E-2</v>
      </c>
      <c r="BY7" s="51">
        <v>-4.5543399999999998E-2</v>
      </c>
      <c r="BZ7" s="51">
        <v>2.4268000000000001E-2</v>
      </c>
      <c r="CA7" s="51">
        <v>4.2298799999999998E-2</v>
      </c>
      <c r="CB7" s="51">
        <v>1.1821399999999999E-2</v>
      </c>
      <c r="CC7" s="51">
        <v>-1.56092E-2</v>
      </c>
      <c r="CD7" s="51">
        <v>-2.6313400000000001E-2</v>
      </c>
      <c r="CE7" s="51">
        <v>-1.3718999999999999E-3</v>
      </c>
      <c r="CF7" s="51">
        <v>-1.92423E-2</v>
      </c>
      <c r="CG7" s="51">
        <v>-5.7868999999999997E-2</v>
      </c>
      <c r="CH7" s="51">
        <v>-4.6058399999999999E-2</v>
      </c>
      <c r="CI7" s="51">
        <v>-3.6560700000000002E-2</v>
      </c>
      <c r="CJ7" s="51">
        <v>-5.8865099999999997E-2</v>
      </c>
      <c r="CK7" s="51">
        <v>9.5384000000000007E-3</v>
      </c>
      <c r="CL7" s="51">
        <v>7.5621499999999994E-2</v>
      </c>
      <c r="CM7" s="51">
        <v>8.4092399999999998E-2</v>
      </c>
      <c r="CN7" s="51">
        <v>0.1027479</v>
      </c>
      <c r="CO7" s="51">
        <v>0.1451307</v>
      </c>
      <c r="CP7" s="51">
        <v>0.1472009</v>
      </c>
      <c r="CQ7" s="51">
        <v>0.22357299999999999</v>
      </c>
      <c r="CR7" s="51">
        <v>6.7618800000000007E-2</v>
      </c>
      <c r="CS7" s="51">
        <v>-5.9360799999999998E-2</v>
      </c>
      <c r="CT7" s="51">
        <v>-6.0876600000000003E-2</v>
      </c>
      <c r="CU7" s="51">
        <v>-3.9231200000000001E-2</v>
      </c>
      <c r="CV7" s="51">
        <v>-4.0013300000000002E-2</v>
      </c>
      <c r="CW7" s="51">
        <v>-2.5949300000000002E-2</v>
      </c>
      <c r="CX7" s="51">
        <v>3.8367199999999997E-2</v>
      </c>
      <c r="CY7" s="51">
        <v>5.4751599999999997E-2</v>
      </c>
      <c r="CZ7" s="51">
        <v>2.3553299999999999E-2</v>
      </c>
      <c r="DA7" s="51">
        <v>-6.574E-3</v>
      </c>
      <c r="DB7" s="51">
        <v>-1.7007499999999998E-2</v>
      </c>
      <c r="DC7" s="51">
        <v>8.4174000000000002E-3</v>
      </c>
      <c r="DD7" s="51">
        <v>-8.7063000000000001E-3</v>
      </c>
      <c r="DE7" s="51">
        <v>-4.7221600000000002E-2</v>
      </c>
      <c r="DF7" s="51">
        <v>-3.4650899999999998E-2</v>
      </c>
      <c r="DG7" s="51">
        <v>-2.2398100000000001E-2</v>
      </c>
      <c r="DH7" s="51">
        <v>-4.27074E-2</v>
      </c>
      <c r="DI7" s="51">
        <v>2.7183100000000002E-2</v>
      </c>
      <c r="DJ7" s="51">
        <v>9.5495300000000005E-2</v>
      </c>
      <c r="DK7" s="51">
        <v>0.10635890000000001</v>
      </c>
      <c r="DL7" s="51">
        <v>0.12650729999999999</v>
      </c>
      <c r="DM7" s="51">
        <v>0.1692216</v>
      </c>
      <c r="DN7" s="51">
        <v>0.17347580000000001</v>
      </c>
      <c r="DO7" s="51">
        <v>0.24982670000000001</v>
      </c>
      <c r="DP7" s="51">
        <v>9.3711699999999995E-2</v>
      </c>
      <c r="DQ7" s="51">
        <v>-3.3039600000000002E-2</v>
      </c>
      <c r="DR7" s="51">
        <v>-3.63384E-2</v>
      </c>
      <c r="DS7" s="51">
        <v>-1.58085E-2</v>
      </c>
      <c r="DT7" s="51">
        <v>-1.8782500000000001E-2</v>
      </c>
      <c r="DU7" s="51">
        <v>-6.3552000000000001E-3</v>
      </c>
      <c r="DV7" s="51">
        <v>5.8724199999999997E-2</v>
      </c>
      <c r="DW7" s="51">
        <v>7.2731500000000004E-2</v>
      </c>
      <c r="DX7" s="51">
        <v>4.0492300000000002E-2</v>
      </c>
      <c r="DY7" s="51">
        <v>6.4714000000000004E-3</v>
      </c>
      <c r="DZ7" s="51">
        <v>-3.5712000000000001E-3</v>
      </c>
      <c r="EA7" s="51">
        <v>2.2551600000000002E-2</v>
      </c>
      <c r="EB7" s="51">
        <v>6.5059000000000002E-3</v>
      </c>
      <c r="EC7" s="51">
        <v>-3.1848500000000002E-2</v>
      </c>
      <c r="ED7" s="51">
        <v>-1.8180200000000001E-2</v>
      </c>
      <c r="EE7" s="51">
        <v>-1.9495999999999999E-3</v>
      </c>
      <c r="EF7" s="51">
        <v>-1.9378200000000002E-2</v>
      </c>
      <c r="EG7" s="51">
        <v>5.2659200000000003E-2</v>
      </c>
      <c r="EH7" s="51">
        <v>0.12418999999999999</v>
      </c>
      <c r="EI7" s="51">
        <v>0.1385082</v>
      </c>
      <c r="EJ7" s="51">
        <v>0.16081219999999999</v>
      </c>
      <c r="EK7" s="51">
        <v>0.20400499999999999</v>
      </c>
      <c r="EL7" s="51">
        <v>0.2114124</v>
      </c>
      <c r="EM7" s="51">
        <v>0.28773290000000001</v>
      </c>
      <c r="EN7" s="51">
        <v>0.13138569999999999</v>
      </c>
      <c r="EO7" s="51">
        <v>4.9640999999999999E-3</v>
      </c>
      <c r="EP7" s="51">
        <v>-9.0910000000000003E-4</v>
      </c>
      <c r="EQ7" s="51">
        <v>1.8010100000000001E-2</v>
      </c>
      <c r="ER7" s="51">
        <v>1.18713E-2</v>
      </c>
      <c r="ES7" s="51">
        <v>2.19356E-2</v>
      </c>
      <c r="ET7" s="51">
        <v>71</v>
      </c>
      <c r="EU7" s="51">
        <v>76</v>
      </c>
      <c r="EV7" s="51">
        <v>79</v>
      </c>
      <c r="EW7" s="51">
        <v>75</v>
      </c>
      <c r="EX7" s="51">
        <v>83</v>
      </c>
      <c r="EY7" s="51">
        <v>78</v>
      </c>
      <c r="EZ7" s="51">
        <v>75</v>
      </c>
      <c r="FA7" s="51">
        <v>80</v>
      </c>
      <c r="FB7" s="51">
        <v>90</v>
      </c>
      <c r="FC7" s="51">
        <v>93</v>
      </c>
      <c r="FD7" s="51">
        <v>102</v>
      </c>
      <c r="FE7" s="51">
        <v>104</v>
      </c>
      <c r="FF7" s="51">
        <v>100</v>
      </c>
      <c r="FG7" s="51">
        <v>103</v>
      </c>
      <c r="FH7" s="51">
        <v>103</v>
      </c>
      <c r="FI7" s="51">
        <v>100</v>
      </c>
      <c r="FJ7" s="51">
        <v>102</v>
      </c>
      <c r="FK7" s="51">
        <v>99</v>
      </c>
      <c r="FL7" s="51">
        <v>93</v>
      </c>
      <c r="FM7" s="51">
        <v>89</v>
      </c>
      <c r="FN7" s="51">
        <v>87</v>
      </c>
      <c r="FO7" s="51">
        <v>87</v>
      </c>
      <c r="FP7" s="51">
        <v>84</v>
      </c>
      <c r="FQ7" s="51">
        <v>84</v>
      </c>
      <c r="FR7">
        <v>1.7069000000000001E-2</v>
      </c>
      <c r="FS7">
        <v>3.3724900000000002E-2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Table</vt:lpstr>
      <vt:lpstr>Lookups</vt:lpstr>
      <vt:lpstr>Data</vt:lpstr>
      <vt:lpstr>climate</vt:lpstr>
      <vt:lpstr>climate_list</vt:lpstr>
      <vt:lpstr>Criteria</vt:lpstr>
      <vt:lpstr>data</vt:lpstr>
      <vt:lpstr>date</vt:lpstr>
      <vt:lpstr>date_list</vt:lpstr>
      <vt:lpstr>Enrolled</vt:lpstr>
      <vt:lpstr>Enrollment</vt:lpstr>
      <vt:lpstr>Table!Print_Area</vt:lpstr>
      <vt:lpstr>rate</vt:lpstr>
      <vt:lpstr>Result_type</vt:lpstr>
      <vt:lpstr>Result_type_list</vt:lpstr>
      <vt:lpstr>SEdata</vt:lpstr>
      <vt:lpstr>Two_way_tab_flag</vt:lpstr>
    </vt:vector>
  </TitlesOfParts>
  <Company>Christensen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shawn</cp:lastModifiedBy>
  <cp:lastPrinted>2009-04-03T17:07:33Z</cp:lastPrinted>
  <dcterms:created xsi:type="dcterms:W3CDTF">2009-03-24T17:58:42Z</dcterms:created>
  <dcterms:modified xsi:type="dcterms:W3CDTF">2017-03-27T22:09:16Z</dcterms:modified>
</cp:coreProperties>
</file>